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Dashboard" sheetId="2" state="visible" r:id="rId4"/>
    <sheet name="Assumptions" sheetId="3" state="visible" r:id="rId5"/>
    <sheet name="Prices" sheetId="4" state="visible" r:id="rId6"/>
    <sheet name="Workflows" sheetId="5" state="visible" r:id="rId7"/>
    <sheet name="Fixed costs" sheetId="6" state="visible" r:id="rId8"/>
    <sheet name="Forecast" sheetId="7" state="visible" r:id="rId9"/>
    <sheet name="ROI" sheetId="8" state="visible" r:id="rId10"/>
    <sheet name="Actuals" sheetId="9" state="visible" r:id="rId11"/>
    <sheet name="Check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<sst xmlns="http://schemas.openxmlformats.org/spreadsheetml/2006/main" count="443" uniqueCount="287">
  <si>
    <t xml:space="preserve">RJL Solutions | AI Token Economics Forecast (version 2)</t>
  </si>
  <si>
    <t xml:space="preserve">An illustrative planning model for API-based assistants and agents: forecast run cost by workflow, measure cost per accepted task, and separate capacity released from planned cash benefit.</t>
  </si>
  <si>
    <t xml:space="preserve">Scope</t>
  </si>
  <si>
    <t xml:space="preserve">Covers model API usage and the recurring platform, evaluation, data, people and change costs around it. It does not yet cover SaaS AI seats, AI features embedded in vendor products, or self-hosted model infrastructure; add those as fixed-cost lines or separate drivers.</t>
  </si>
  <si>
    <t xml:space="preserve">How to use</t>
  </si>
  <si>
    <t xml:space="preserve">1. Prices: enter contracted rates by tier, with provider, model, effective date and currency. Apply cache and batch terms only where your contract and workload qualify.</t>
  </si>
  <si>
    <t xml:space="preserve">2. Workflows: one row per workflow. Several workflows can belong to one persona; the persona sets permissions, the workflow carries the economics. Enter demand, tokens, limits, quality, value drivers and the benefit owner.</t>
  </si>
  <si>
    <t xml:space="preserve">3. Fixed costs: recurring costs around the tokens, with the share of each line that would actually fall away if one workflow stopped.</t>
  </si>
  <si>
    <t xml:space="preserve">4. Assumptions: choose a scenario, an allocation basis, the budget, the hurdle thresholds and the first forecast month.</t>
  </si>
  <si>
    <t xml:space="preserve">5. Read Dashboard, ROI and Checks. Record monthly actuals on Actuals to see variance against forecast and budget.</t>
  </si>
  <si>
    <t xml:space="preserve">Financial definitions</t>
  </si>
  <si>
    <t xml:space="preserve">Capacity released: hours saved on useful tasks, net of review (unless review is an incremental paid cost). Capacity value: those hours at loaded cost. This is capacity, not cash.</t>
  </si>
  <si>
    <t xml:space="preserve">Planned benefit: the part of capacity value the business owner plans to convert to cash or avoided cost (staffing, overtime, contractors, purchased services), from the realization start month. The plan is owned by the business and validated by finance.</t>
  </si>
  <si>
    <t xml:space="preserve">Run cost: token cost + incremental paid review + recurring costs. Benefit / cost is a benefit-cost ratio, not ROI; net return % = (planned benefit - run cost) / run cost.</t>
  </si>
  <si>
    <t xml:space="preserve">Fully allocated cost shares recurring cost by the chosen basis. Avoidable cost is what would really disappear if a workflow stopped. Incremental view shows the cost and benefit of lifting a binding cap.</t>
  </si>
  <si>
    <t xml:space="preserve">Hurdle decisions (Scale, Fix, Stop) are an executive discussion aid on the fully allocated view. Below a hurdle is not proof that stopping helps; check Net change if stopped.</t>
  </si>
  <si>
    <t xml:space="preserve">Legend</t>
  </si>
  <si>
    <t xml:space="preserve">Blue text: inputs. Yellow fill: key assumptions to confirm with finance. Black: formulas. Green: links to another tab.</t>
  </si>
  <si>
    <t xml:space="preserve">Important</t>
  </si>
  <si>
    <t xml:space="preserve">All shipped values are illustrative examples of the method, not benchmarks, vendor quotes or client results. Unit prices today may reflect provider subsidies; test the Price rise scenario.</t>
  </si>
  <si>
    <t xml:space="preserve">Companion paper: AI Token Economics (RJL Solutions, Operators' Corner, draft October 2026).</t>
  </si>
  <si>
    <t xml:space="preserve">CFO dashboard: AI run cost, capacity and planned benefit</t>
  </si>
  <si>
    <t xml:space="preserve">Measure</t>
  </si>
  <si>
    <t xml:space="preserve">Year 1</t>
  </si>
  <si>
    <t xml:space="preserve">Year 2</t>
  </si>
  <si>
    <t xml:space="preserve">Note</t>
  </si>
  <si>
    <t xml:space="preserve">Total run cost ($)</t>
  </si>
  <si>
    <t xml:space="preserve">Tokens, incremental paid review and recurring costs; never drops below recurring cost</t>
  </si>
  <si>
    <t xml:space="preserve">   of which token cost ($)</t>
  </si>
  <si>
    <t xml:space="preserve">The part the provider bills</t>
  </si>
  <si>
    <t xml:space="preserve">   of which recurring cost ($)</t>
  </si>
  <si>
    <t xml:space="preserve">Gateway, evaluation, retrieval, data, people, change, security</t>
  </si>
  <si>
    <t xml:space="preserve">Capacity hours released</t>
  </si>
  <si>
    <t xml:space="preserve">Net of review; capacity, not cash</t>
  </si>
  <si>
    <t xml:space="preserve">Capacity value ($)</t>
  </si>
  <si>
    <t xml:space="preserve">Hours at loaded cost; not cash</t>
  </si>
  <si>
    <t xml:space="preserve">Planned benefit ($)</t>
  </si>
  <si>
    <t xml:space="preserve">Owner's plan to convert capacity to cash or avoided cost</t>
  </si>
  <si>
    <t xml:space="preserve">Net planned value ($)</t>
  </si>
  <si>
    <t xml:space="preserve">Planned benefit minus run cost</t>
  </si>
  <si>
    <t xml:space="preserve">Benefit / cost (ratio)</t>
  </si>
  <si>
    <t xml:space="preserve">A benefit-cost ratio, not ROI</t>
  </si>
  <si>
    <t xml:space="preserve">Net return (%)</t>
  </si>
  <si>
    <t xml:space="preserve">(Planned benefit - run cost) / run cost</t>
  </si>
  <si>
    <t xml:space="preserve">Cost per useful task, portfolio ($)</t>
  </si>
  <si>
    <t xml:space="preserve">Mix-dependent average; use workflow unit costs for decisions</t>
  </si>
  <si>
    <t xml:space="preserve">Approved run budget, year 1 ($)</t>
  </si>
  <si>
    <t xml:space="preserve">From Assumptions</t>
  </si>
  <si>
    <t xml:space="preserve">Forecast run cost vs budget ($)</t>
  </si>
  <si>
    <t xml:space="preserve">Positive = above budget</t>
  </si>
  <si>
    <t xml:space="preserve">Peak monthly run cost ($)</t>
  </si>
  <si>
    <t xml:space="preserve">Within 24 months</t>
  </si>
  <si>
    <t xml:space="preserve">Month cumulative net planned value turns positive</t>
  </si>
  <si>
    <t xml:space="preserve">Not payback: no up-front investment schedule is modeled</t>
  </si>
  <si>
    <t xml:space="preserve">Workflow (year 1)</t>
  </si>
  <si>
    <t xml:space="preserve">Fully allocated cost ($)</t>
  </si>
  <si>
    <t xml:space="preserve">Benefit / cost</t>
  </si>
  <si>
    <t xml:space="preserve">Hurdle</t>
  </si>
  <si>
    <t xml:space="preserve">Net change if stopped ($)</t>
  </si>
  <si>
    <t xml:space="preserve">Months cap binds (Y1)</t>
  </si>
  <si>
    <t xml:space="preserve">Unmet demand (Y1)</t>
  </si>
  <si>
    <t xml:space="preserve">Persona rollup (year 1)</t>
  </si>
  <si>
    <t xml:space="preserve">Claims examiner</t>
  </si>
  <si>
    <t xml:space="preserve">Finance analyst</t>
  </si>
  <si>
    <t xml:space="preserve">Software engineer</t>
  </si>
  <si>
    <t xml:space="preserve">Contact center agent</t>
  </si>
  <si>
    <t xml:space="preserve">General staff</t>
  </si>
  <si>
    <t xml:space="preserve">Monthly series for the chart</t>
  </si>
  <si>
    <t xml:space="preserve">Month</t>
  </si>
  <si>
    <t xml:space="preserve">Total run cost</t>
  </si>
  <si>
    <t xml:space="preserve">Planned benefit</t>
  </si>
  <si>
    <t xml:space="preserve">Capacity value</t>
  </si>
  <si>
    <t xml:space="preserve">Assumptions and scenarios</t>
  </si>
  <si>
    <t xml:space="preserve">Blue cells are inputs. The selected scenario and allocation basis drive Forecast, ROI and Dashboard.</t>
  </si>
  <si>
    <t xml:space="preserve">Selected scenario</t>
  </si>
  <si>
    <t xml:space="preserve">Base</t>
  </si>
  <si>
    <t xml:space="preserve">Low, Base, High, Business downside or Price rise.</t>
  </si>
  <si>
    <t xml:space="preserve">Working days per month</t>
  </si>
  <si>
    <t xml:space="preserve">Turns tasks per day into tasks per month.</t>
  </si>
  <si>
    <t xml:space="preserve">Approved AI run budget, year 1 ($)</t>
  </si>
  <si>
    <t xml:space="preserve">The budget finance approved.</t>
  </si>
  <si>
    <t xml:space="preserve">Scale hurdle (benefit / fully allocated cost)</t>
  </si>
  <si>
    <t xml:space="preserve">At or above: candidate to scale. Policy choice, set with the CFO.</t>
  </si>
  <si>
    <t xml:space="preserve">Stop hurdle (benefit / fully allocated cost)</t>
  </si>
  <si>
    <t xml:space="preserve">Below: candidate to stop or redesign. Check Net change if stopped first.</t>
  </si>
  <si>
    <t xml:space="preserve">First forecast month</t>
  </si>
  <si>
    <t xml:space="preserve">A real date; Forecast and Actuals months follow it.</t>
  </si>
  <si>
    <t xml:space="preserve">Allocation basis for recurring cost</t>
  </si>
  <si>
    <t xml:space="preserve">Tasks completed</t>
  </si>
  <si>
    <t xml:space="preserve">Tasks completed, Token cost or Equal.</t>
  </si>
  <si>
    <t xml:space="preserve">Max capacity hours per active user per month</t>
  </si>
  <si>
    <t xml:space="preserve">Plausibility check: saved hours must fit the work people actually do.</t>
  </si>
  <si>
    <t xml:space="preserve">Scenario lever</t>
  </si>
  <si>
    <t xml:space="preserve">Low</t>
  </si>
  <si>
    <t xml:space="preserve">High</t>
  </si>
  <si>
    <t xml:space="preserve">Business downside</t>
  </si>
  <si>
    <t xml:space="preserve">Price rise</t>
  </si>
  <si>
    <t xml:space="preserve">What it changes</t>
  </si>
  <si>
    <t xml:space="preserve">Adoption multiplier</t>
  </si>
  <si>
    <t xml:space="preserve">Scales target adoption (capped at 100%).</t>
  </si>
  <si>
    <t xml:space="preserve">Task volume multiplier</t>
  </si>
  <si>
    <t xml:space="preserve">Tasks per active user.</t>
  </si>
  <si>
    <t xml:space="preserve">Tokens per task multiplier</t>
  </si>
  <si>
    <t xml:space="preserve">Context, agent steps, reasoning.</t>
  </si>
  <si>
    <t xml:space="preserve">Annual unit price change</t>
  </si>
  <si>
    <t xml:space="preserve">Effective price per token per year. Positive tests subsidy unwinding.</t>
  </si>
  <si>
    <t xml:space="preserve">Useful completion multiplier</t>
  </si>
  <si>
    <t xml:space="preserve">Share of tasks the business accepts.</t>
  </si>
  <si>
    <t xml:space="preserve">Review minutes multiplier</t>
  </si>
  <si>
    <t xml:space="preserve">Human checking and correction.</t>
  </si>
  <si>
    <t xml:space="preserve">Realization share multiplier</t>
  </si>
  <si>
    <t xml:space="preserve">Share of capacity converted to cash.</t>
  </si>
  <si>
    <t xml:space="preserve">Realization delay (months added)</t>
  </si>
  <si>
    <t xml:space="preserve">Benefits arrive later.</t>
  </si>
  <si>
    <t xml:space="preserve">Recurring cost multiplier</t>
  </si>
  <si>
    <t xml:space="preserve">Platform, people and support.</t>
  </si>
  <si>
    <t xml:space="preserve">Active scenario values</t>
  </si>
  <si>
    <t xml:space="preserve">Prices per million tokens (illustrative)</t>
  </si>
  <si>
    <t xml:space="preserve">Replace with contracted rates. Rate cards and contracts determine actual cost; this formula is a planning approximation.</t>
  </si>
  <si>
    <t xml:space="preserve">Model tier</t>
  </si>
  <si>
    <t xml:space="preserve">Provider</t>
  </si>
  <si>
    <t xml:space="preserve">Model and version</t>
  </si>
  <si>
    <t xml:space="preserve">Effective date</t>
  </si>
  <si>
    <t xml:space="preserve">Currency</t>
  </si>
  <si>
    <t xml:space="preserve">Input $ / M tokens</t>
  </si>
  <si>
    <t xml:space="preserve">Output $ / M tokens</t>
  </si>
  <si>
    <t xml:space="preserve">Typical use</t>
  </si>
  <si>
    <t xml:space="preserve">Small</t>
  </si>
  <si>
    <t xml:space="preserve">Provider A</t>
  </si>
  <si>
    <t xml:space="preserve">small-model-v1</t>
  </si>
  <si>
    <t xml:space="preserve">USD</t>
  </si>
  <si>
    <t xml:space="preserve">Classification, extraction, routing, summaries</t>
  </si>
  <si>
    <t xml:space="preserve">Standard</t>
  </si>
  <si>
    <t xml:space="preserve">standard-model-v1</t>
  </si>
  <si>
    <t xml:space="preserve">Most assistants and retrieval answers</t>
  </si>
  <si>
    <t xml:space="preserve">Frontier</t>
  </si>
  <si>
    <t xml:space="preserve">Provider B</t>
  </si>
  <si>
    <t xml:space="preserve">frontier-model-v1</t>
  </si>
  <si>
    <t xml:space="preserve">Hard reasoning and long agentic tasks</t>
  </si>
  <si>
    <t xml:space="preserve">Cached input price multiplier</t>
  </si>
  <si>
    <t xml:space="preserve">Share of the input price paid for cache hits, where the contract and prompt structure qualify.</t>
  </si>
  <si>
    <t xml:space="preserve">Batch discount</t>
  </si>
  <si>
    <t xml:space="preserve">Discount on eligible asynchronous batch work only.</t>
  </si>
  <si>
    <t xml:space="preserve">Reasoning or thinking tokens are usually billed as output; include them in output tokens per call.</t>
  </si>
  <si>
    <t xml:space="preserve">Workflows: demand, limits, quality and value, rolled up to persona</t>
  </si>
  <si>
    <t xml:space="preserve">One row per workflow. The persona sets permissions; the workflow carries the economics. Values are illustrative.</t>
  </si>
  <si>
    <t xml:space="preserve">Workflow</t>
  </si>
  <si>
    <t xml:space="preserve">Persona</t>
  </si>
  <si>
    <t xml:space="preserve">What the role may use</t>
  </si>
  <si>
    <t xml:space="preserve">Eligible users</t>
  </si>
  <si>
    <t xml:space="preserve">Target adoption</t>
  </si>
  <si>
    <t xml:space="preserve">Ramp months</t>
  </si>
  <si>
    <t xml:space="preserve">Tasks per user per day</t>
  </si>
  <si>
    <t xml:space="preserve">Input tokens per call</t>
  </si>
  <si>
    <t xml:space="preserve">Output tokens per call</t>
  </si>
  <si>
    <t xml:space="preserve">Model calls per task</t>
  </si>
  <si>
    <t xml:space="preserve">Retry overhead</t>
  </si>
  <si>
    <t xml:space="preserve">Cache share of input</t>
  </si>
  <si>
    <t xml:space="preserve">Batch share</t>
  </si>
  <si>
    <t xml:space="preserve">Monthly cap per user ($)</t>
  </si>
  <si>
    <t xml:space="preserve">Useful completion rate</t>
  </si>
  <si>
    <t xml:space="preserve">Minutes saved per useful task</t>
  </si>
  <si>
    <t xml:space="preserve">Review minutes per task</t>
  </si>
  <si>
    <t xml:space="preserve">Loaded hourly cost ($)</t>
  </si>
  <si>
    <t xml:space="preserve">Cash realization share</t>
  </si>
  <si>
    <t xml:space="preserve">Realization start month</t>
  </si>
  <si>
    <t xml:space="preserve">Review is incremental paid cost?</t>
  </si>
  <si>
    <t xml:space="preserve">Benefit owner</t>
  </si>
  <si>
    <t xml:space="preserve">Input price ($/M)</t>
  </si>
  <si>
    <t xml:space="preserve">Output price ($/M)</t>
  </si>
  <si>
    <t xml:space="preserve">Cost per task ($)</t>
  </si>
  <si>
    <t xml:space="preserve">Uncapped cost per active user per month, base ($)</t>
  </si>
  <si>
    <t xml:space="preserve">Cap binds at base inputs?</t>
  </si>
  <si>
    <t xml:space="preserve">Claim case summary</t>
  </si>
  <si>
    <t xml:space="preserve">Standard tier; read-only claim and policy tools; approved procedures</t>
  </si>
  <si>
    <t xml:space="preserve">No</t>
  </si>
  <si>
    <t xml:space="preserve">Claims operations lead</t>
  </si>
  <si>
    <t xml:space="preserve">Finance reconciliation</t>
  </si>
  <si>
    <t xml:space="preserve">Standard tier; certified finance products via the semantic layer</t>
  </si>
  <si>
    <t xml:space="preserve">Controller</t>
  </si>
  <si>
    <t xml:space="preserve">Finance commentary draft</t>
  </si>
  <si>
    <t xml:space="preserve">Small tier; approved results only; no source access</t>
  </si>
  <si>
    <t xml:space="preserve">FP&amp;A lead</t>
  </si>
  <si>
    <t xml:space="preserve">Code change agent</t>
  </si>
  <si>
    <t xml:space="preserve">Frontier tier; repository and test tools; no production writes</t>
  </si>
  <si>
    <t xml:space="preserve">Engineering director</t>
  </si>
  <si>
    <t xml:space="preserve">Call summary (batch)</t>
  </si>
  <si>
    <t xml:space="preserve">Small tier; redacted transcripts; batch only</t>
  </si>
  <si>
    <t xml:space="preserve">Contact center head</t>
  </si>
  <si>
    <t xml:space="preserve">Document questions</t>
  </si>
  <si>
    <t xml:space="preserve">Standard tier; documents the user can already open; no tools that act</t>
  </si>
  <si>
    <t xml:space="preserve">COO office</t>
  </si>
  <si>
    <t xml:space="preserve">Cap binds at base inputs is a static design check. The Dashboard shows whether caps bind under the selected scenario, month by month.</t>
  </si>
  <si>
    <t xml:space="preserve">Overlap: the general staff assistant and specialist workflows may serve the same people. Do not count the same hours twice; Checks tests hours per active user.</t>
  </si>
  <si>
    <t xml:space="preserve">Recurring costs around the tokens (illustrative)</t>
  </si>
  <si>
    <t xml:space="preserve">Months are forecast months 1 to 24. Avoidable share = part of the line that would really fall away if one workflow stopped.</t>
  </si>
  <si>
    <t xml:space="preserve">Cost line</t>
  </si>
  <si>
    <t xml:space="preserve">Monthly ($)</t>
  </si>
  <si>
    <t xml:space="preserve">Start month</t>
  </si>
  <si>
    <t xml:space="preserve">End month</t>
  </si>
  <si>
    <t xml:space="preserve">Avoidable share if one workflow stops</t>
  </si>
  <si>
    <t xml:space="preserve">AI gateway, routing and observability</t>
  </si>
  <si>
    <t xml:space="preserve">Metering, limits, tracing, anomaly alerts</t>
  </si>
  <si>
    <t xml:space="preserve">Evaluation and red teaming</t>
  </si>
  <si>
    <t xml:space="preserve">Release test packs, reruns after model changes</t>
  </si>
  <si>
    <t xml:space="preserve">Retrieval and vector infrastructure</t>
  </si>
  <si>
    <t xml:space="preserve">Indexes, embeddings, storage</t>
  </si>
  <si>
    <t xml:space="preserve">FinOps and platform staff (2 FTE)</t>
  </si>
  <si>
    <t xml:space="preserve">Forecast, allocation, optimization, vendor management</t>
  </si>
  <si>
    <t xml:space="preserve">Data preparation and knowledge upkeep</t>
  </si>
  <si>
    <t xml:space="preserve">Products and documents the assistants depend on</t>
  </si>
  <si>
    <t xml:space="preserve">Change management and training</t>
  </si>
  <si>
    <t xml:space="preserve">Year one adoption program</t>
  </si>
  <si>
    <t xml:space="preserve">Security, identity and audit trail</t>
  </si>
  <si>
    <t xml:space="preserve">Agent identity, logging, reviews</t>
  </si>
  <si>
    <t xml:space="preserve">Weighted avoidable share</t>
  </si>
  <si>
    <t xml:space="preserve">24-month forecast for the selected scenario</t>
  </si>
  <si>
    <t xml:space="preserve">Month number</t>
  </si>
  <si>
    <t xml:space="preserve">Unit price factor</t>
  </si>
  <si>
    <t xml:space="preserve">Active users</t>
  </si>
  <si>
    <t xml:space="preserve">Tasks demanded per active user</t>
  </si>
  <si>
    <t xml:space="preserve">Cost per active user, capped ($)</t>
  </si>
  <si>
    <t xml:space="preserve">Cap factor (share of demand completed)</t>
  </si>
  <si>
    <t xml:space="preserve">Tasks demanded</t>
  </si>
  <si>
    <t xml:space="preserve">Useful tasks</t>
  </si>
  <si>
    <t xml:space="preserve">Token cost ($)</t>
  </si>
  <si>
    <t xml:space="preserve">Incremental paid review ($)</t>
  </si>
  <si>
    <t xml:space="preserve">Unmet tasks (cap)</t>
  </si>
  <si>
    <t xml:space="preserve">Token cost to lift cap ($)</t>
  </si>
  <si>
    <t xml:space="preserve">Planned benefit lost to cap ($)</t>
  </si>
  <si>
    <t xml:space="preserve">Portfolio totals</t>
  </si>
  <si>
    <t xml:space="preserve">Recurring cost ($)</t>
  </si>
  <si>
    <t xml:space="preserve">Cumulative net planned value ($)</t>
  </si>
  <si>
    <t xml:space="preserve">Workflow economics: fully allocated, avoidable and incremental views</t>
  </si>
  <si>
    <t xml:space="preserve">Year</t>
  </si>
  <si>
    <t xml:space="preserve">Allocation share</t>
  </si>
  <si>
    <t xml:space="preserve">Allocated recurring ($)</t>
  </si>
  <si>
    <t xml:space="preserve">Net planned ($)</t>
  </si>
  <si>
    <t xml:space="preserve">Benefit / fully allocated cost</t>
  </si>
  <si>
    <t xml:space="preserve">Cost per useful task ($)</t>
  </si>
  <si>
    <t xml:space="preserve">Planned benefit per useful task ($)</t>
  </si>
  <si>
    <t xml:space="preserve">Avoidable cost if stopped ($)</t>
  </si>
  <si>
    <t xml:space="preserve">Cost to lift cap ($)</t>
  </si>
  <si>
    <t xml:space="preserve">Benefit of lifting cap ($)</t>
  </si>
  <si>
    <t xml:space="preserve">Incremental ratio, lift cap</t>
  </si>
  <si>
    <t xml:space="preserve">Hurdle decision</t>
  </si>
  <si>
    <t xml:space="preserve">Y1</t>
  </si>
  <si>
    <t xml:space="preserve">Portfolio, year 1 (from Forecast totals)</t>
  </si>
  <si>
    <t xml:space="preserve">Unallocated recurring cost (should be 0)</t>
  </si>
  <si>
    <t xml:space="preserve">Y2</t>
  </si>
  <si>
    <t xml:space="preserve">Portfolio, year 2 (from Forecast totals)</t>
  </si>
  <si>
    <t xml:space="preserve">Net change if stopped = avoidable cost saved minus planned benefit lost. Negative means stopping makes the portfolio worse, whatever the hurdle says.</t>
  </si>
  <si>
    <t xml:space="preserve">Portfolio cost per useful task mixes unlike tasks; use workflow unit costs for decisions.</t>
  </si>
  <si>
    <t xml:space="preserve">Actuals, budget and variance</t>
  </si>
  <si>
    <t xml:space="preserve">Enter monthly actuals from invoices and the ledger (blue). Freeze the approved budget; the forecast columns update with the scenario. Month 1 shows an example; replace it.</t>
  </si>
  <si>
    <t xml:space="preserve">Approved budget ($)</t>
  </si>
  <si>
    <t xml:space="preserve">Current forecast run cost ($)</t>
  </si>
  <si>
    <t xml:space="preserve">Actual token invoice ($)</t>
  </si>
  <si>
    <t xml:space="preserve">Actual other run cost ($)</t>
  </si>
  <si>
    <t xml:space="preserve">Actual run cost ($)</t>
  </si>
  <si>
    <t xml:space="preserve">Variance vs forecast ($)</t>
  </si>
  <si>
    <t xml:space="preserve">Variance vs budget ($)</t>
  </si>
  <si>
    <t xml:space="preserve">Forecast useful tasks</t>
  </si>
  <si>
    <t xml:space="preserve">Actual useful tasks</t>
  </si>
  <si>
    <t xml:space="preserve">Volume effect ($)</t>
  </si>
  <si>
    <t xml:space="preserve">Rate and efficiency effect ($)</t>
  </si>
  <si>
    <t xml:space="preserve">Method: volume effect = (actual - forecast useful tasks) x forecast run cost per useful task; rate and efficiency effect = the remaining variance (prices, tokens per task, mix, recurring cost). A simple documented bridge, not a full mix analysis.</t>
  </si>
  <si>
    <t xml:space="preserve">Reconcile actual token invoices to provider bills and the ledger each month before reading the variance.</t>
  </si>
  <si>
    <t xml:space="preserve">Model checks</t>
  </si>
  <si>
    <t xml:space="preserve">Each check shows OK or a count of issues. Dashboard shows the total.</t>
  </si>
  <si>
    <t xml:space="preserve">Check</t>
  </si>
  <si>
    <t xml:space="preserve">Result</t>
  </si>
  <si>
    <t xml:space="preserve">What to do</t>
  </si>
  <si>
    <t xml:space="preserve">Shares between 0 and 1 (adoption, retry, cache, batch, useful, realization)</t>
  </si>
  <si>
    <t xml:space="preserve">Correct the share on Workflows.</t>
  </si>
  <si>
    <t xml:space="preserve">No negative prices, caps, volumes or tokens</t>
  </si>
  <si>
    <t xml:space="preserve">Correct the negative input.</t>
  </si>
  <si>
    <t xml:space="preserve">Ramp months and realization start month at least 1</t>
  </si>
  <si>
    <t xml:space="preserve">Use 1 or more.</t>
  </si>
  <si>
    <t xml:space="preserve">Recurring cost fully allocated, year 1 and year 2</t>
  </si>
  <si>
    <t xml:space="preserve">Check the allocation basis.</t>
  </si>
  <si>
    <t xml:space="preserve">Workflows with tasks but no useful output in year 1</t>
  </si>
  <si>
    <t xml:space="preserve">Unit costs show N/A; investigate quality before funding.</t>
  </si>
  <si>
    <t xml:space="preserve">Capacity hours per active user within the plausible maximum (month 12)</t>
  </si>
  <si>
    <t xml:space="preserve">Saved hours exceed plausible work; check minutes saved and tasks per day.</t>
  </si>
  <si>
    <t xml:space="preserve">Scenario and allocation basis recognized</t>
  </si>
  <si>
    <t xml:space="preserve">Choose from the lists.</t>
  </si>
</sst>
</file>

<file path=xl/styles.xml><?xml version="1.0" encoding="utf-8"?>
<styleSheet xmlns="http://schemas.openxmlformats.org/spreadsheetml/2006/main">
  <numFmts count="11">
    <numFmt numFmtId="164" formatCode="General"/>
    <numFmt numFmtId="165" formatCode="\$#,##0;&quot;($&quot;#,##0\);\-"/>
    <numFmt numFmtId="166" formatCode="#,##0;\(#,##0\);\-"/>
    <numFmt numFmtId="167" formatCode="0.00\x"/>
    <numFmt numFmtId="168" formatCode="0.0%;\(0.0%\);\-"/>
    <numFmt numFmtId="169" formatCode="\$#,##0.00;&quot;($&quot;#,##0.00\);\-"/>
    <numFmt numFmtId="170" formatCode="mmm\ yyyy"/>
    <numFmt numFmtId="171" formatCode="yyyy\-mm\-dd"/>
    <numFmt numFmtId="172" formatCode="0.0"/>
    <numFmt numFmtId="173" formatCode="\$#,##0.0000;&quot;($&quot;#,##0.0000\);\-"/>
    <numFmt numFmtId="174" formatCode="0.000"/>
  </numFmts>
  <fonts count="15">
    <font>
      <sz val="11"/>
      <color theme="1"/>
      <name val="Calibri"/>
      <family val="2"/>
      <charset val="1"/>
    </font>
    <font>
      <sz val="10"/>
      <name val="Arial"/>
      <family val="0"/>
    </font>
    <font>
      <sz val="10"/>
      <name val="Arial"/>
      <family val="0"/>
    </font>
    <font>
      <sz val="10"/>
      <name val="Arial"/>
      <family val="0"/>
    </font>
    <font>
      <b val="true"/>
      <sz val="14"/>
      <color rgb="FF1A0542"/>
      <name val="Arial"/>
      <family val="0"/>
      <charset val="1"/>
    </font>
    <font>
      <i val="true"/>
      <sz val="10"/>
      <color rgb="FF545868"/>
      <name val="Arial"/>
      <family val="0"/>
      <charset val="1"/>
    </font>
    <font>
      <sz val="10"/>
      <name val="Arial"/>
      <family val="0"/>
      <charset val="1"/>
    </font>
    <font>
      <b val="true"/>
      <sz val="10"/>
      <name val="Arial"/>
      <family val="0"/>
      <charset val="1"/>
    </font>
    <font>
      <b val="true"/>
      <sz val="10"/>
      <color rgb="FFFFFFFF"/>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0000FF"/>
      <name val="Arial"/>
      <family val="0"/>
      <charset val="1"/>
    </font>
    <font>
      <b val="true"/>
      <sz val="10"/>
      <color rgb="FF008000"/>
      <name val="Arial"/>
      <family val="0"/>
      <charset val="1"/>
    </font>
  </fonts>
  <fills count="5">
    <fill>
      <patternFill patternType="none"/>
    </fill>
    <fill>
      <patternFill patternType="gray125"/>
    </fill>
    <fill>
      <patternFill patternType="solid">
        <fgColor rgb="FF2B0B70"/>
        <bgColor rgb="FF1A0542"/>
      </patternFill>
    </fill>
    <fill>
      <patternFill patternType="solid">
        <fgColor rgb="FFFFFF00"/>
        <bgColor rgb="FFFFFF00"/>
      </patternFill>
    </fill>
    <fill>
      <patternFill patternType="solid">
        <fgColor rgb="FFECE9F7"/>
        <bgColor rgb="FFD9D9D9"/>
      </patternFill>
    </fill>
  </fills>
  <borders count="2">
    <border diagonalUp="false" diagonalDown="false">
      <left/>
      <right/>
      <top/>
      <bottom/>
      <diagonal/>
    </border>
    <border diagonalUp="false" diagonalDown="false">
      <left style="thin">
        <color rgb="FFD9D3F0"/>
      </left>
      <right style="thin">
        <color rgb="FFD9D3F0"/>
      </right>
      <top style="thin">
        <color rgb="FFD9D3F0"/>
      </top>
      <bottom style="thin">
        <color rgb="FFD9D3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8" fontId="9" fillId="0" borderId="1" xfId="0" applyFont="true" applyBorder="true" applyAlignment="false" applyProtection="false">
      <alignment horizontal="general" vertical="bottom" textRotation="0" wrapText="false" indent="0" shrinkToFit="false"/>
      <protection locked="true" hidden="false"/>
    </xf>
    <xf numFmtId="169" fontId="9"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70"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8"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6" fontId="13" fillId="3" borderId="0" xfId="0" applyFont="true" applyBorder="false" applyAlignment="false" applyProtection="false">
      <alignment horizontal="general" vertical="bottom" textRotation="0" wrapText="false" indent="0" shrinkToFit="false"/>
      <protection locked="true" hidden="false"/>
    </xf>
    <xf numFmtId="165" fontId="13" fillId="3" borderId="0" xfId="0" applyFont="true" applyBorder="false" applyAlignment="false" applyProtection="false">
      <alignment horizontal="general" vertical="bottom" textRotation="0" wrapText="false" indent="0" shrinkToFit="false"/>
      <protection locked="true" hidden="false"/>
    </xf>
    <xf numFmtId="167" fontId="13" fillId="3" borderId="0" xfId="0" applyFont="true" applyBorder="false" applyAlignment="false" applyProtection="false">
      <alignment horizontal="general" vertical="bottom" textRotation="0" wrapText="false" indent="0" shrinkToFit="false"/>
      <protection locked="true" hidden="false"/>
    </xf>
    <xf numFmtId="170" fontId="13" fillId="3" borderId="0" xfId="0" applyFont="true" applyBorder="false" applyAlignment="false" applyProtection="false">
      <alignment horizontal="general" vertical="bottom" textRotation="0" wrapText="false" indent="0" shrinkToFit="false"/>
      <protection locked="true" hidden="false"/>
    </xf>
    <xf numFmtId="167" fontId="13" fillId="0" borderId="0" xfId="0" applyFont="true" applyBorder="false" applyAlignment="false" applyProtection="false">
      <alignment horizontal="general" vertical="bottom" textRotation="0" wrapText="false" indent="0" shrinkToFit="false"/>
      <protection locked="true" hidden="false"/>
    </xf>
    <xf numFmtId="168" fontId="13" fillId="0" borderId="0" xfId="0" applyFont="true" applyBorder="false" applyAlignment="false" applyProtection="false">
      <alignment horizontal="general" vertical="bottom" textRotation="0" wrapText="false" indent="0" shrinkToFit="false"/>
      <protection locked="true" hidden="false"/>
    </xf>
    <xf numFmtId="166" fontId="13"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71" fontId="13" fillId="0" borderId="0" xfId="0" applyFont="true" applyBorder="false" applyAlignment="false" applyProtection="false">
      <alignment horizontal="general" vertical="bottom" textRotation="0" wrapText="false" indent="0" shrinkToFit="false"/>
      <protection locked="true" hidden="false"/>
    </xf>
    <xf numFmtId="169" fontId="13" fillId="0" borderId="0" xfId="0" applyFont="true" applyBorder="false" applyAlignment="false" applyProtection="false">
      <alignment horizontal="general" vertical="bottom" textRotation="0" wrapText="false" indent="0" shrinkToFit="false"/>
      <protection locked="true" hidden="false"/>
    </xf>
    <xf numFmtId="168" fontId="13" fillId="3"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72" fontId="13" fillId="0" borderId="0" xfId="0" applyFont="true" applyBorder="false" applyAlignment="false" applyProtection="false">
      <alignment horizontal="general" vertical="bottom" textRotation="0" wrapText="fals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1A0542"/>
      <rgbColor rgb="FF808000"/>
      <rgbColor rgb="FF800080"/>
      <rgbColor rgb="FF008080"/>
      <rgbColor rgb="FFD9D9D9"/>
      <rgbColor rgb="FF878787"/>
      <rgbColor rgb="FF9999FF"/>
      <rgbColor rgb="FFBE4B48"/>
      <rgbColor rgb="FFECE9F7"/>
      <rgbColor rgb="FFCCFFFF"/>
      <rgbColor rgb="FF660066"/>
      <rgbColor rgb="FFFF8080"/>
      <rgbColor rgb="FF0066CC"/>
      <rgbColor rgb="FFD9D3F0"/>
      <rgbColor rgb="FF2B0B7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A7EBB"/>
      <rgbColor rgb="FF33CCCC"/>
      <rgbColor rgb="FF98B855"/>
      <rgbColor rgb="FFFFCC00"/>
      <rgbColor rgb="FFFF9900"/>
      <rgbColor rgb="FFFF6600"/>
      <rgbColor rgb="FF545868"/>
      <rgbColor rgb="FF969696"/>
      <rgbColor rgb="FF003366"/>
      <rgbColor rgb="FF4F81BD"/>
      <rgbColor rgb="FF003300"/>
      <rgbColor rgb="FF333300"/>
      <rgbColor rgb="FF993300"/>
      <rgbColor rgb="FFC0504D"/>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Monthly run cost, planned benefit and capacity value ($)</a:t>
            </a:r>
          </a:p>
        </c:rich>
      </c:tx>
      <c:overlay val="0"/>
      <c:spPr>
        <a:noFill/>
        <a:ln w="0">
          <a:noFill/>
        </a:ln>
      </c:spPr>
    </c:title>
    <c:autoTitleDeleted val="0"/>
    <c:plotArea>
      <c:lineChart>
        <c:grouping val="standard"/>
        <c:varyColors val="0"/>
        <c:ser>
          <c:idx val="0"/>
          <c:order val="0"/>
          <c:tx>
            <c:strRef>
              <c:f>Dashboard!B39</c:f>
              <c:strCache>
                <c:ptCount val="1"/>
                <c:pt idx="0">
                  <c:v>Total run cost</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Dashboard!$A$40:$A$63</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Dashboard!$B$40:$B$63</c:f>
              <c:numCache>
                <c:formatCode>\$#,##0;"($"#,##0\);\-</c:formatCode>
                <c:ptCount val="24"/>
                <c:pt idx="0">
                  <c:v>147830.8279052</c:v>
                </c:pt>
                <c:pt idx="1">
                  <c:v>181594.195403965</c:v>
                </c:pt>
                <c:pt idx="2">
                  <c:v>215291.966778468</c:v>
                </c:pt>
                <c:pt idx="3">
                  <c:v>216925.960515487</c:v>
                </c:pt>
                <c:pt idx="4">
                  <c:v>218423.339373417</c:v>
                </c:pt>
                <c:pt idx="5">
                  <c:v>219863.193563069</c:v>
                </c:pt>
                <c:pt idx="6">
                  <c:v>219836.297949668</c:v>
                </c:pt>
                <c:pt idx="7">
                  <c:v>219807.045550235</c:v>
                </c:pt>
                <c:pt idx="8">
                  <c:v>219775.532334148</c:v>
                </c:pt>
                <c:pt idx="9">
                  <c:v>219595.433106221</c:v>
                </c:pt>
                <c:pt idx="10">
                  <c:v>219418.65193104</c:v>
                </c:pt>
                <c:pt idx="11">
                  <c:v>219245.127678559</c:v>
                </c:pt>
                <c:pt idx="12">
                  <c:v>207074.80034496</c:v>
                </c:pt>
                <c:pt idx="13">
                  <c:v>206907.611031903</c:v>
                </c:pt>
                <c:pt idx="14">
                  <c:v>206743.50192616</c:v>
                </c:pt>
                <c:pt idx="15">
                  <c:v>206582.416279625</c:v>
                </c:pt>
                <c:pt idx="16">
                  <c:v>206424.298389686</c:v>
                </c:pt>
                <c:pt idx="17">
                  <c:v>206269.093579969</c:v>
                </c:pt>
                <c:pt idx="18">
                  <c:v>206116.748181428</c:v>
                </c:pt>
                <c:pt idx="19">
                  <c:v>205967.209513785</c:v>
                </c:pt>
                <c:pt idx="20">
                  <c:v>205820.425867318</c:v>
                </c:pt>
                <c:pt idx="21">
                  <c:v>205676.346484977</c:v>
                </c:pt>
                <c:pt idx="22">
                  <c:v>205534.921544832</c:v>
                </c:pt>
                <c:pt idx="23">
                  <c:v>205396.102142847</c:v>
                </c:pt>
              </c:numCache>
            </c:numRef>
          </c:val>
          <c:smooth val="1"/>
        </c:ser>
        <c:ser>
          <c:idx val="1"/>
          <c:order val="1"/>
          <c:tx>
            <c:strRef>
              <c:f>Dashboard!C39</c:f>
              <c:strCache>
                <c:ptCount val="1"/>
                <c:pt idx="0">
                  <c:v>Planned benefit</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Dashboard!$A$40:$A$63</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Dashboard!$C$40:$C$63</c:f>
              <c:numCache>
                <c:formatCode>\$#,##0;"($"#,##0\);\-</c:formatCode>
                <c:ptCount val="24"/>
                <c:pt idx="0">
                  <c:v>0</c:v>
                </c:pt>
                <c:pt idx="1">
                  <c:v>0</c:v>
                </c:pt>
                <c:pt idx="2">
                  <c:v>153224.199808103</c:v>
                </c:pt>
                <c:pt idx="3">
                  <c:v>291841.305437332</c:v>
                </c:pt>
                <c:pt idx="4">
                  <c:v>328706.48970178</c:v>
                </c:pt>
                <c:pt idx="5">
                  <c:v>539632.665740763</c:v>
                </c:pt>
                <c:pt idx="6">
                  <c:v>548711.065709477</c:v>
                </c:pt>
                <c:pt idx="7">
                  <c:v>557846.541135911</c:v>
                </c:pt>
                <c:pt idx="8">
                  <c:v>567040.163284464</c:v>
                </c:pt>
                <c:pt idx="9">
                  <c:v>570255.523526379</c:v>
                </c:pt>
                <c:pt idx="10">
                  <c:v>573531.233717136</c:v>
                </c:pt>
                <c:pt idx="11">
                  <c:v>576868.426580924</c:v>
                </c:pt>
                <c:pt idx="12">
                  <c:v>580268.256102335</c:v>
                </c:pt>
                <c:pt idx="13">
                  <c:v>583731.8979254</c:v>
                </c:pt>
                <c:pt idx="14">
                  <c:v>587260.549760129</c:v>
                </c:pt>
                <c:pt idx="15">
                  <c:v>590855.431796665</c:v>
                </c:pt>
                <c:pt idx="16">
                  <c:v>594517.787127225</c:v>
                </c:pt>
                <c:pt idx="17">
                  <c:v>598248.882175954</c:v>
                </c:pt>
                <c:pt idx="18">
                  <c:v>602050.007136846</c:v>
                </c:pt>
                <c:pt idx="19">
                  <c:v>605922.476419889</c:v>
                </c:pt>
                <c:pt idx="20">
                  <c:v>609867.629105581</c:v>
                </c:pt>
                <c:pt idx="21">
                  <c:v>613886.829407974</c:v>
                </c:pt>
                <c:pt idx="22">
                  <c:v>617981.46714642</c:v>
                </c:pt>
                <c:pt idx="23">
                  <c:v>622152.958226156</c:v>
                </c:pt>
              </c:numCache>
            </c:numRef>
          </c:val>
          <c:smooth val="1"/>
        </c:ser>
        <c:ser>
          <c:idx val="2"/>
          <c:order val="2"/>
          <c:tx>
            <c:strRef>
              <c:f>Dashboard!D39</c:f>
              <c:strCache>
                <c:ptCount val="1"/>
                <c:pt idx="0">
                  <c:v>Capacity value</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Dashboard!$A$40:$A$63</c:f>
              <c:strCach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strCache>
            </c:strRef>
          </c:cat>
          <c:val>
            <c:numRef>
              <c:f>Dashboard!$D$40:$D$63</c:f>
              <c:numCache>
                <c:formatCode>\$#,##0;"($"#,##0\);\-</c:formatCode>
                <c:ptCount val="24"/>
                <c:pt idx="0">
                  <c:v>316811.493254579</c:v>
                </c:pt>
                <c:pt idx="1">
                  <c:v>637317.537787094</c:v>
                </c:pt>
                <c:pt idx="2">
                  <c:v>961622.149616206</c:v>
                </c:pt>
                <c:pt idx="3">
                  <c:v>1185765.21087466</c:v>
                </c:pt>
                <c:pt idx="4">
                  <c:v>1295198.72940356</c:v>
                </c:pt>
                <c:pt idx="5">
                  <c:v>1404742.23148153</c:v>
                </c:pt>
                <c:pt idx="6">
                  <c:v>1441011.53141895</c:v>
                </c:pt>
                <c:pt idx="7">
                  <c:v>1477394.98227182</c:v>
                </c:pt>
                <c:pt idx="8">
                  <c:v>1513894.72656893</c:v>
                </c:pt>
                <c:pt idx="9">
                  <c:v>1520325.44705276</c:v>
                </c:pt>
                <c:pt idx="10">
                  <c:v>1526876.86743427</c:v>
                </c:pt>
                <c:pt idx="11">
                  <c:v>1533551.25316185</c:v>
                </c:pt>
                <c:pt idx="12">
                  <c:v>1540350.91220467</c:v>
                </c:pt>
                <c:pt idx="13">
                  <c:v>1547278.1958508</c:v>
                </c:pt>
                <c:pt idx="14">
                  <c:v>1554335.49952026</c:v>
                </c:pt>
                <c:pt idx="15">
                  <c:v>1561525.26359333</c:v>
                </c:pt>
                <c:pt idx="16">
                  <c:v>1568849.97425445</c:v>
                </c:pt>
                <c:pt idx="17">
                  <c:v>1576312.16435191</c:v>
                </c:pt>
                <c:pt idx="18">
                  <c:v>1583914.41427369</c:v>
                </c:pt>
                <c:pt idx="19">
                  <c:v>1591659.35283978</c:v>
                </c:pt>
                <c:pt idx="20">
                  <c:v>1599549.65821116</c:v>
                </c:pt>
                <c:pt idx="21">
                  <c:v>1607588.05881595</c:v>
                </c:pt>
                <c:pt idx="22">
                  <c:v>1615777.33429284</c:v>
                </c:pt>
                <c:pt idx="23">
                  <c:v>1624120.31645231</c:v>
                </c:pt>
              </c:numCache>
            </c:numRef>
          </c:val>
          <c:smooth val="1"/>
        </c:ser>
        <c:hiLowLines>
          <c:spPr>
            <a:ln w="0">
              <a:noFill/>
            </a:ln>
          </c:spPr>
        </c:hiLowLines>
        <c:marker val="0"/>
        <c:axId val="11674312"/>
        <c:axId val="53751297"/>
      </c:lineChart>
      <c:catAx>
        <c:axId val="1167431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Month</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3751297"/>
        <c:crosses val="autoZero"/>
        <c:auto val="1"/>
        <c:lblAlgn val="ctr"/>
        <c:lblOffset val="100"/>
        <c:noMultiLvlLbl val="0"/>
      </c:catAx>
      <c:valAx>
        <c:axId val="53751297"/>
        <c:scaling>
          <c:orientation val="minMax"/>
        </c:scaling>
        <c:delete val="0"/>
        <c:axPos val="l"/>
        <c:majorGridlines>
          <c:spPr>
            <a:ln w="9360">
              <a:solidFill>
                <a:srgbClr val="878787"/>
              </a:solidFill>
              <a:round/>
            </a:ln>
          </c:spPr>
        </c:majorGridlines>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1674312"/>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Fully allocated cost and planned benefit by workflow, year 1 ($)</a:t>
            </a:r>
          </a:p>
        </c:rich>
      </c:tx>
      <c:overlay val="0"/>
      <c:spPr>
        <a:noFill/>
        <a:ln w="0">
          <a:noFill/>
        </a:ln>
      </c:spPr>
    </c:title>
    <c:autoTitleDeleted val="0"/>
    <c:plotArea>
      <c:barChart>
        <c:barDir val="col"/>
        <c:grouping val="clustered"/>
        <c:varyColors val="0"/>
        <c:ser>
          <c:idx val="0"/>
          <c:order val="0"/>
          <c:tx>
            <c:strRef>
              <c:f>Dashboard!B21</c:f>
              <c:strCache>
                <c:ptCount val="1"/>
                <c:pt idx="0">
                  <c:v>Fully allocated cost ($)</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Dashboard!$A$22:$A$27</c:f>
              <c:strCache>
                <c:ptCount val="6"/>
                <c:pt idx="0">
                  <c:v>Claim case summary</c:v>
                </c:pt>
                <c:pt idx="1">
                  <c:v>Finance reconciliation</c:v>
                </c:pt>
                <c:pt idx="2">
                  <c:v>Finance commentary draft</c:v>
                </c:pt>
                <c:pt idx="3">
                  <c:v>Code change agent</c:v>
                </c:pt>
                <c:pt idx="4">
                  <c:v>Call summary (batch)</c:v>
                </c:pt>
                <c:pt idx="5">
                  <c:v>Document questions</c:v>
                </c:pt>
              </c:strCache>
            </c:strRef>
          </c:cat>
          <c:val>
            <c:numRef>
              <c:f>Dashboard!$B$22:$B$27</c:f>
              <c:numCache>
                <c:formatCode>\$#,##0;"($"#,##0\);\-</c:formatCode>
                <c:ptCount val="6"/>
                <c:pt idx="0">
                  <c:v>207300.506574991</c:v>
                </c:pt>
                <c:pt idx="1">
                  <c:v>32583.263794505</c:v>
                </c:pt>
                <c:pt idx="2">
                  <c:v>9605.00683700353</c:v>
                </c:pt>
                <c:pt idx="3">
                  <c:v>1087771.5732611</c:v>
                </c:pt>
                <c:pt idx="4">
                  <c:v>1033145.70319726</c:v>
                </c:pt>
                <c:pt idx="5">
                  <c:v>147201.518424617</c:v>
                </c:pt>
              </c:numCache>
            </c:numRef>
          </c:val>
        </c:ser>
        <c:ser>
          <c:idx val="1"/>
          <c:order val="1"/>
          <c:tx>
            <c:strRef>
              <c:f>Dashboard!C21</c:f>
              <c:strCache>
                <c:ptCount val="1"/>
                <c:pt idx="0">
                  <c:v>Planned benefit ($)</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Dashboard!$A$22:$A$27</c:f>
              <c:strCache>
                <c:ptCount val="6"/>
                <c:pt idx="0">
                  <c:v>Claim case summary</c:v>
                </c:pt>
                <c:pt idx="1">
                  <c:v>Finance reconciliation</c:v>
                </c:pt>
                <c:pt idx="2">
                  <c:v>Finance commentary draft</c:v>
                </c:pt>
                <c:pt idx="3">
                  <c:v>Code change agent</c:v>
                </c:pt>
                <c:pt idx="4">
                  <c:v>Call summary (batch)</c:v>
                </c:pt>
                <c:pt idx="5">
                  <c:v>Document questions</c:v>
                </c:pt>
              </c:strCache>
            </c:strRef>
          </c:cat>
          <c:val>
            <c:numRef>
              <c:f>Dashboard!$C$22:$C$27</c:f>
              <c:numCache>
                <c:formatCode>\$#,##0;"($"#,##0\);\-</c:formatCode>
                <c:ptCount val="6"/>
                <c:pt idx="0">
                  <c:v>1331967</c:v>
                </c:pt>
                <c:pt idx="1">
                  <c:v>300415.5</c:v>
                </c:pt>
                <c:pt idx="2">
                  <c:v>98317.8</c:v>
                </c:pt>
                <c:pt idx="3">
                  <c:v>1668352.81464227</c:v>
                </c:pt>
                <c:pt idx="4">
                  <c:v>964467</c:v>
                </c:pt>
                <c:pt idx="5">
                  <c:v>344137.5</c:v>
                </c:pt>
              </c:numCache>
            </c:numRef>
          </c:val>
        </c:ser>
        <c:gapWidth val="150"/>
        <c:overlap val="0"/>
        <c:axId val="48499611"/>
        <c:axId val="24825527"/>
      </c:barChart>
      <c:catAx>
        <c:axId val="4849961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4825527"/>
        <c:crosses val="autoZero"/>
        <c:auto val="1"/>
        <c:lblAlgn val="ctr"/>
        <c:lblOffset val="100"/>
        <c:noMultiLvlLbl val="0"/>
      </c:catAx>
      <c:valAx>
        <c:axId val="24825527"/>
        <c:scaling>
          <c:orientation val="minMax"/>
        </c:scaling>
        <c:delete val="0"/>
        <c:axPos val="l"/>
        <c:majorGridlines>
          <c:spPr>
            <a:ln w="9360">
              <a:solidFill>
                <a:srgbClr val="878787"/>
              </a:solidFill>
              <a:round/>
            </a:ln>
          </c:spPr>
        </c:majorGridlines>
        <c:numFmt formatCode="\$#,##0;&quot;($&quot;#,##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8499611"/>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2</xdr:row>
      <xdr:rowOff>160920</xdr:rowOff>
    </xdr:from>
    <xdr:to>
      <xdr:col>19</xdr:col>
      <xdr:colOff>364680</xdr:colOff>
      <xdr:row>18</xdr:row>
      <xdr:rowOff>172440</xdr:rowOff>
    </xdr:to>
    <xdr:graphicFrame>
      <xdr:nvGraphicFramePr>
        <xdr:cNvPr id="0" name="Chart 1"/>
        <xdr:cNvGraphicFramePr/>
      </xdr:nvGraphicFramePr>
      <xdr:xfrm>
        <a:off x="14074200" y="571680"/>
        <a:ext cx="647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20</xdr:row>
      <xdr:rowOff>503640</xdr:rowOff>
    </xdr:from>
    <xdr:to>
      <xdr:col>19</xdr:col>
      <xdr:colOff>364680</xdr:colOff>
      <xdr:row>36</xdr:row>
      <xdr:rowOff>59760</xdr:rowOff>
    </xdr:to>
    <xdr:graphicFrame>
      <xdr:nvGraphicFramePr>
        <xdr:cNvPr id="1" name="Chart 2"/>
        <xdr:cNvGraphicFramePr/>
      </xdr:nvGraphicFramePr>
      <xdr:xfrm>
        <a:off x="14074200" y="4343400"/>
        <a:ext cx="6479640" cy="305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0"/>
  </cols>
  <sheetData>
    <row r="1" customFormat="false" ht="17.35" hidden="false" customHeight="false" outlineLevel="0" collapsed="false">
      <c r="B1" s="1" t="s">
        <v>0</v>
      </c>
    </row>
    <row r="2" customFormat="false" ht="23.85" hidden="false" customHeight="false" outlineLevel="0" collapsed="false">
      <c r="B2" s="2" t="s">
        <v>1</v>
      </c>
    </row>
    <row r="3" customFormat="false" ht="15" hidden="false" customHeight="false" outlineLevel="0" collapsed="false">
      <c r="B3" s="3"/>
    </row>
    <row r="4" customFormat="false" ht="15" hidden="false" customHeight="false" outlineLevel="0" collapsed="false">
      <c r="B4" s="4" t="s">
        <v>2</v>
      </c>
    </row>
    <row r="5" customFormat="false" ht="23.85" hidden="false" customHeight="false" outlineLevel="0" collapsed="false">
      <c r="B5" s="3" t="s">
        <v>3</v>
      </c>
    </row>
    <row r="6" customFormat="false" ht="15" hidden="false" customHeight="false" outlineLevel="0" collapsed="false">
      <c r="B6" s="3"/>
    </row>
    <row r="7" customFormat="false" ht="15" hidden="false" customHeight="false" outlineLevel="0" collapsed="false">
      <c r="B7" s="4" t="s">
        <v>4</v>
      </c>
    </row>
    <row r="8" customFormat="false" ht="23.85" hidden="false" customHeight="false" outlineLevel="0" collapsed="false">
      <c r="B8" s="3" t="s">
        <v>5</v>
      </c>
    </row>
    <row r="9" customFormat="false" ht="23.85" hidden="false" customHeight="false" outlineLevel="0" collapsed="false">
      <c r="B9" s="3" t="s">
        <v>6</v>
      </c>
    </row>
    <row r="10" customFormat="false" ht="15" hidden="false" customHeight="false" outlineLevel="0" collapsed="false">
      <c r="B10" s="3" t="s">
        <v>7</v>
      </c>
    </row>
    <row r="11" customFormat="false" ht="15" hidden="false" customHeight="false" outlineLevel="0" collapsed="false">
      <c r="B11" s="3" t="s">
        <v>8</v>
      </c>
    </row>
    <row r="12" customFormat="false" ht="15" hidden="false" customHeight="false" outlineLevel="0" collapsed="false">
      <c r="B12" s="3" t="s">
        <v>9</v>
      </c>
    </row>
    <row r="13" customFormat="false" ht="15" hidden="false" customHeight="false" outlineLevel="0" collapsed="false">
      <c r="B13" s="3"/>
    </row>
    <row r="14" customFormat="false" ht="15" hidden="false" customHeight="false" outlineLevel="0" collapsed="false">
      <c r="B14" s="4" t="s">
        <v>10</v>
      </c>
    </row>
    <row r="15" customFormat="false" ht="23.85" hidden="false" customHeight="false" outlineLevel="0" collapsed="false">
      <c r="B15" s="3" t="s">
        <v>11</v>
      </c>
    </row>
    <row r="16" customFormat="false" ht="23.85" hidden="false" customHeight="false" outlineLevel="0" collapsed="false">
      <c r="B16" s="3" t="inlineStr">
        <is>
          <t>Planned benefit: the part of capacity value the business owner plans to convert to cash or avoided cost (staffing, overtime, contractors, purchased services), from the realization start month. The plan is owned by the business and validated by finance.</t>
        </is>
      </c>
    </row>
    <row r="17" customFormat="false" ht="23.85" hidden="false" customHeight="false" outlineLevel="0" collapsed="false">
      <c r="B17" s="3" t="inlineStr">
        <is>
          <t>Run cost: token cost + incremental paid review + recurring costs. Benefit / cost is a benefit-cost ratio, not ROI; net return % = (planned benefit - run cost) / run cost.</t>
        </is>
      </c>
    </row>
    <row r="18" customFormat="false" ht="23.85" hidden="false" customHeight="false" outlineLevel="0" collapsed="false">
      <c r="B18" s="3" t="s">
        <v>14</v>
      </c>
    </row>
    <row r="19" customFormat="false" ht="23.85" hidden="false" customHeight="false" outlineLevel="0" collapsed="false">
      <c r="B19" s="3" t="s">
        <v>15</v>
      </c>
    </row>
    <row r="20" customFormat="false" ht="15" hidden="false" customHeight="false" outlineLevel="0" collapsed="false">
      <c r="B20" s="3"/>
    </row>
    <row r="21" customFormat="false" ht="15" hidden="false" customHeight="false" outlineLevel="0" collapsed="false">
      <c r="B21" s="4" t="s">
        <v>16</v>
      </c>
    </row>
    <row r="22" customFormat="false" ht="15" hidden="false" customHeight="false" outlineLevel="0" collapsed="false">
      <c r="B22" s="3" t="s">
        <v>17</v>
      </c>
    </row>
    <row r="23" customFormat="false" ht="15" hidden="false" customHeight="false" outlineLevel="0" collapsed="false">
      <c r="B23" s="3"/>
    </row>
    <row r="24" customFormat="false" ht="15" hidden="false" customHeight="false" outlineLevel="0" collapsed="false">
      <c r="B24" s="4" t="s">
        <v>18</v>
      </c>
    </row>
    <row r="25" customFormat="false" ht="23.85" hidden="false" customHeight="false" outlineLevel="0" collapsed="false">
      <c r="B25" s="3" t="s">
        <v>19</v>
      </c>
    </row>
    <row r="26" customFormat="false" ht="15" hidden="false" customHeight="false" outlineLevel="0" collapsed="false">
      <c r="B26" s="3" t="inlineStr">
        <is>
          <t>Companion paper: AI Token Economics (RJL Solutions, Operators' Corner, version 2, published October 2026).</t>
        </is>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3" min="2" style="0" width="15"/>
    <col collapsed="false" customWidth="true" hidden="false" outlineLevel="0" max="4" min="4" style="0" width="54"/>
    <col collapsed="false" customWidth="true" hidden="false" outlineLevel="0" max="5" min="5" style="0" width="15"/>
    <col collapsed="false" customWidth="true" hidden="false" outlineLevel="0" max="6" min="6" style="0" width="16"/>
    <col collapsed="false" customWidth="true" hidden="false" outlineLevel="0" max="8" min="7" style="0" width="15"/>
  </cols>
  <sheetData>
    <row r="1" customFormat="false" ht="17.35" hidden="false" customHeight="false" outlineLevel="0" collapsed="false">
      <c r="A1" s="5" t="inlineStr">
        <is>
          <t>CFO dashboard: AI run cost, capacity and planned benefit</t>
        </is>
      </c>
    </row>
    <row r="2" customFormat="false" ht="15" hidden="false" customHeight="false" outlineLevel="0" collapsed="false">
      <c r="A2" s="6" t="str">
        <f aca="false">"Scenario: "&amp;Assumptions!$B$4&amp;"   |   Allocation: "&amp;Assumptions!$B$10&amp;"   |   Checks: "&amp;IF(SUM(Checks!D5:D11)=0,"all OK",SUM(Checks!D5:D11)&amp;" issue(s)")</f>
        <v>Scenario: Base   |   Allocation: Tasks completed   |   Checks: all OK</v>
      </c>
    </row>
    <row r="4" customFormat="false" ht="15" hidden="false" customHeight="false" outlineLevel="0" collapsed="false">
      <c r="A4" s="7" t="s">
        <v>22</v>
      </c>
      <c r="B4" s="7" t="s">
        <v>23</v>
      </c>
      <c r="C4" s="7" t="s">
        <v>24</v>
      </c>
      <c r="D4" s="7" t="s">
        <v>25</v>
      </c>
    </row>
    <row r="5" customFormat="false" ht="15" hidden="false" customHeight="false" outlineLevel="0" collapsed="false">
      <c r="A5" s="8" t="s">
        <v>26</v>
      </c>
      <c r="B5" s="9" t="n">
        <f aca="false">ROI!J11</f>
        <v>2517607.57208948</v>
      </c>
      <c r="C5" s="9" t="n">
        <f aca="false">ROI!J20</f>
        <v>2474513.47528749</v>
      </c>
      <c r="D5" s="10" t="s">
        <v>27</v>
      </c>
    </row>
    <row r="6" customFormat="false" ht="15" hidden="false" customHeight="false" outlineLevel="0" collapsed="false">
      <c r="A6" s="11" t="s">
        <v>28</v>
      </c>
      <c r="B6" s="9" t="n">
        <f aca="false">ROI!F11</f>
        <v>1149607.57208948</v>
      </c>
      <c r="C6" s="9" t="n">
        <f aca="false">ROI!F20</f>
        <v>1250513.47528749</v>
      </c>
      <c r="D6" s="10" t="s">
        <v>29</v>
      </c>
    </row>
    <row r="7" customFormat="false" ht="15" hidden="false" customHeight="false" outlineLevel="0" collapsed="false">
      <c r="A7" s="11" t="s">
        <v>30</v>
      </c>
      <c r="B7" s="9" t="n">
        <f aca="false">ROI!I11</f>
        <v>1368000</v>
      </c>
      <c r="C7" s="9" t="n">
        <f aca="false">ROI!I20</f>
        <v>1224000</v>
      </c>
      <c r="D7" s="10" t="s">
        <v>31</v>
      </c>
    </row>
    <row r="8" customFormat="false" ht="15" hidden="false" customHeight="false" outlineLevel="0" collapsed="false">
      <c r="A8" s="8" t="s">
        <v>32</v>
      </c>
      <c r="B8" s="12" t="n">
        <f aca="false">SUM(Forecast!C115:N115)</f>
        <v>224354.112821147</v>
      </c>
      <c r="C8" s="12" t="n">
        <f aca="false">SUM(Forecast!O115:Z115)</f>
        <v>279163.955860556</v>
      </c>
      <c r="D8" s="10" t="s">
        <v>33</v>
      </c>
    </row>
    <row r="9" customFormat="false" ht="15" hidden="false" customHeight="false" outlineLevel="0" collapsed="false">
      <c r="A9" s="8" t="s">
        <v>34</v>
      </c>
      <c r="B9" s="9" t="n">
        <f aca="false">ROI!K11</f>
        <v>14814512.1603262</v>
      </c>
      <c r="C9" s="9" t="n">
        <f aca="false">ROI!K20</f>
        <v>18971261.1446611</v>
      </c>
      <c r="D9" s="10" t="s">
        <v>35</v>
      </c>
    </row>
    <row r="10" customFormat="false" ht="15" hidden="false" customHeight="false" outlineLevel="0" collapsed="false">
      <c r="A10" s="8" t="inlineStr">
        <is>
          <t>Planned benefit ($)</t>
        </is>
      </c>
      <c r="B10" s="9" t="n">
        <f aca="false">ROI!L11</f>
        <v>4707657.61464227</v>
      </c>
      <c r="C10" s="9" t="n">
        <f aca="false">ROI!L20</f>
        <v>7206744.17233057</v>
      </c>
      <c r="D10" s="10" t="s">
        <v>37</v>
      </c>
    </row>
    <row r="11" customFormat="false" ht="15" hidden="false" customHeight="false" outlineLevel="0" collapsed="false">
      <c r="A11" s="8" t="inlineStr">
        <is>
          <t>Net planned benefit ($)</t>
        </is>
      </c>
      <c r="B11" s="9" t="n">
        <f aca="false">ROI!M11</f>
        <v>2190050.0425528</v>
      </c>
      <c r="C11" s="9" t="n">
        <f aca="false">ROI!M20</f>
        <v>4732230.69704308</v>
      </c>
      <c r="D11" s="10" t="inlineStr">
        <is>
          <t>Planned benefit minus run cost</t>
        </is>
      </c>
    </row>
    <row r="12" customFormat="false" ht="15" hidden="false" customHeight="false" outlineLevel="0" collapsed="false">
      <c r="A12" s="8" t="s">
        <v>40</v>
      </c>
      <c r="B12" s="13" t="n">
        <f aca="false">ROI!N11</f>
        <v>1.86989333319139</v>
      </c>
      <c r="C12" s="13" t="n">
        <f aca="false">ROI!N20</f>
        <v>2.91238833180865</v>
      </c>
      <c r="D12" s="10" t="s">
        <v>41</v>
      </c>
    </row>
    <row r="13" customFormat="false" ht="15" hidden="false" customHeight="false" outlineLevel="0" collapsed="false">
      <c r="A13" s="8" t="s">
        <v>42</v>
      </c>
      <c r="B13" s="14" t="n">
        <f aca="false">IF(ROI!J11=0,"N/A",ROI!M11/ROI!J11)</f>
        <v>0.86989333319139</v>
      </c>
      <c r="C13" s="14" t="n">
        <f aca="false">IF(ROI!J20=0,"N/A",ROI!M20/ROI!J20)</f>
        <v>1.91238833180865</v>
      </c>
      <c r="D13" s="10" t="inlineStr">
        <is>
          <t>(Planned benefit - run cost) / run cost</t>
        </is>
      </c>
    </row>
    <row r="14" customFormat="false" ht="15" hidden="false" customHeight="false" outlineLevel="0" collapsed="false">
      <c r="A14" s="8" t="s">
        <v>44</v>
      </c>
      <c r="B14" s="15" t="n">
        <f aca="false">ROI!O11</f>
        <v>0.459324183631519</v>
      </c>
      <c r="C14" s="15" t="n">
        <f aca="false">ROI!O20</f>
        <v>0.379480996151034</v>
      </c>
      <c r="D14" s="10" t="s">
        <v>45</v>
      </c>
    </row>
    <row r="15" customFormat="false" ht="15" hidden="false" customHeight="false" outlineLevel="0" collapsed="false">
      <c r="A15" s="8" t="s">
        <v>46</v>
      </c>
      <c r="B15" s="9" t="n">
        <f aca="false">Assumptions!$B$6</f>
        <v>3000000</v>
      </c>
      <c r="C15" s="16"/>
      <c r="D15" s="10" t="s">
        <v>47</v>
      </c>
    </row>
    <row r="16" customFormat="false" ht="15" hidden="false" customHeight="false" outlineLevel="0" collapsed="false">
      <c r="A16" s="8" t="s">
        <v>48</v>
      </c>
      <c r="B16" s="9" t="n">
        <f aca="false">B5-B15</f>
        <v>-482392.427910524</v>
      </c>
      <c r="C16" s="16"/>
      <c r="D16" s="10" t="s">
        <v>49</v>
      </c>
    </row>
    <row r="17" customFormat="false" ht="15" hidden="false" customHeight="false" outlineLevel="0" collapsed="false">
      <c r="A17" s="8" t="s">
        <v>50</v>
      </c>
      <c r="B17" s="9" t="n">
        <f aca="false">MAX(Forecast!C114:Z114)</f>
        <v>219863.193563069</v>
      </c>
      <c r="C17" s="16"/>
      <c r="D17" s="10" t="s">
        <v>51</v>
      </c>
    </row>
    <row r="18" customFormat="false" ht="15" hidden="false" customHeight="false" outlineLevel="0" collapsed="false">
      <c r="A18" s="8" t="inlineStr">
        <is>
          <t>Month cumulative net planned benefit turns positive</t>
        </is>
      </c>
      <c r="B18" s="17" t="n">
        <f aca="false">IFERROR(INDEX(Forecast!C$3:Z$3,MATCH(TRUE(),INDEX(Forecast!C119:Z119&gt;0,0),0)),"Not within 24 months")</f>
        <v>46539</v>
      </c>
      <c r="C18" s="16"/>
      <c r="D18" s="10" t="s">
        <v>53</v>
      </c>
    </row>
    <row r="21" customFormat="false" ht="42" hidden="false" customHeight="true" outlineLevel="0" collapsed="false">
      <c r="A21" s="7" t="s">
        <v>54</v>
      </c>
      <c r="B21" s="7" t="s">
        <v>55</v>
      </c>
      <c r="C21" s="7" t="inlineStr">
        <is>
          <t>Planned benefit ($)</t>
        </is>
      </c>
      <c r="D21" s="7" t="s">
        <v>56</v>
      </c>
      <c r="E21" s="7" t="s">
        <v>57</v>
      </c>
      <c r="F21" s="7" t="s">
        <v>58</v>
      </c>
      <c r="G21" s="7" t="s">
        <v>59</v>
      </c>
      <c r="H21" s="7" t="s">
        <v>60</v>
      </c>
    </row>
    <row r="22" customFormat="false" ht="15" hidden="false" customHeight="false" outlineLevel="0" collapsed="false">
      <c r="A22" s="18" t="str">
        <f aca="false">ROI!A5</f>
        <v>Claim case summary</v>
      </c>
      <c r="B22" s="9" t="n">
        <f aca="false">ROI!J5</f>
        <v>207300.506574991</v>
      </c>
      <c r="C22" s="9" t="n">
        <f aca="false">ROI!L5</f>
        <v>1331967</v>
      </c>
      <c r="D22" s="13" t="n">
        <f aca="false">ROI!N5</f>
        <v>6.42529544190074</v>
      </c>
      <c r="E22" s="18" t="str">
        <f aca="false">ROI!V5</f>
        <v>Scale</v>
      </c>
      <c r="F22" s="9" t="n">
        <f aca="false">ROI!R5</f>
        <v>-1243449.62082506</v>
      </c>
      <c r="G22" s="19" t="n">
        <f aca="false">SUMPRODUCT((Forecast!C11:N11&lt;1)*(Forecast!C7:N7&gt;0))</f>
        <v>0</v>
      </c>
      <c r="H22" s="20" t="n">
        <f aca="false">IF(SUM(Forecast!C12:N12)=0,"N/A",SUM(Forecast!C20:N20)/SUM(Forecast!C12:N12))</f>
        <v>0</v>
      </c>
    </row>
    <row r="23" customFormat="false" ht="15" hidden="false" customHeight="false" outlineLevel="0" collapsed="false">
      <c r="A23" s="18" t="str">
        <f aca="false">ROI!A6</f>
        <v>Finance reconciliation</v>
      </c>
      <c r="B23" s="9" t="n">
        <f aca="false">ROI!J6</f>
        <v>32583.263794505</v>
      </c>
      <c r="C23" s="9" t="n">
        <f aca="false">ROI!L6</f>
        <v>300415.5</v>
      </c>
      <c r="D23" s="13" t="n">
        <f aca="false">ROI!N6</f>
        <v>9.21993272051105</v>
      </c>
      <c r="E23" s="18" t="str">
        <f aca="false">ROI!V6</f>
        <v>Scale</v>
      </c>
      <c r="F23" s="9" t="n">
        <f aca="false">ROI!R6</f>
        <v>-280558.9998555</v>
      </c>
      <c r="G23" s="19" t="n">
        <f aca="false">SUMPRODUCT((Forecast!C28:N28&lt;1)*(Forecast!C24:N24&gt;0))</f>
        <v>0</v>
      </c>
      <c r="H23" s="20" t="n">
        <f aca="false">IF(SUM(Forecast!C29:N29)=0,"N/A",SUM(Forecast!C37:N37)/SUM(Forecast!C29:N29))</f>
        <v>0</v>
      </c>
    </row>
    <row r="24" customFormat="false" ht="15" hidden="false" customHeight="false" outlineLevel="0" collapsed="false">
      <c r="A24" s="18" t="str">
        <f aca="false">ROI!A7</f>
        <v>Finance commentary draft</v>
      </c>
      <c r="B24" s="9" t="n">
        <f aca="false">ROI!J7</f>
        <v>9605.00683700353</v>
      </c>
      <c r="C24" s="9" t="n">
        <f aca="false">ROI!L7</f>
        <v>98317.8</v>
      </c>
      <c r="D24" s="13" t="n">
        <f aca="false">ROI!N7</f>
        <v>10.2360989084597</v>
      </c>
      <c r="E24" s="18" t="str">
        <f aca="false">ROI!V7</f>
        <v>Scale</v>
      </c>
      <c r="F24" s="9" t="n">
        <f aca="false">ROI!R7</f>
        <v>-96348.8513529997</v>
      </c>
      <c r="G24" s="19" t="n">
        <f aca="false">SUMPRODUCT((Forecast!C45:N45&lt;1)*(Forecast!C41:N41&gt;0))</f>
        <v>0</v>
      </c>
      <c r="H24" s="20" t="n">
        <f aca="false">IF(SUM(Forecast!C46:N46)=0,"N/A",SUM(Forecast!C54:N54)/SUM(Forecast!C46:N46))</f>
        <v>0</v>
      </c>
    </row>
    <row r="25" customFormat="false" ht="15" hidden="false" customHeight="false" outlineLevel="0" collapsed="false">
      <c r="A25" s="18" t="str">
        <f aca="false">ROI!A8</f>
        <v>Code change agent</v>
      </c>
      <c r="B25" s="9" t="n">
        <f aca="false">ROI!J8</f>
        <v>1087771.5732611</v>
      </c>
      <c r="C25" s="9" t="n">
        <f aca="false">ROI!L8</f>
        <v>1668352.81464227</v>
      </c>
      <c r="D25" s="13" t="n">
        <f aca="false">ROI!N8</f>
        <v>1.53373452262648</v>
      </c>
      <c r="E25" s="18" t="str">
        <f aca="false">ROI!V8</f>
        <v>Fix</v>
      </c>
      <c r="F25" s="9" t="n">
        <f aca="false">ROI!R8</f>
        <v>-606611.635614388</v>
      </c>
      <c r="G25" s="19" t="n">
        <f aca="false">SUMPRODUCT((Forecast!C62:N62&lt;1)*(Forecast!C58:N58&gt;0))</f>
        <v>12</v>
      </c>
      <c r="H25" s="20" t="n">
        <f aca="false">IF(SUM(Forecast!C63:N63)=0,"N/A",SUM(Forecast!C71:N71)/SUM(Forecast!C63:N63))</f>
        <v>0.337592936885774</v>
      </c>
    </row>
    <row r="26" customFormat="false" ht="15" hidden="false" customHeight="false" outlineLevel="0" collapsed="false">
      <c r="A26" s="18" t="str">
        <f aca="false">ROI!A9</f>
        <v>Call summary (batch)</v>
      </c>
      <c r="B26" s="9" t="n">
        <f aca="false">ROI!J9</f>
        <v>1033145.70319726</v>
      </c>
      <c r="C26" s="9" t="n">
        <f aca="false">ROI!L9</f>
        <v>964467</v>
      </c>
      <c r="D26" s="13" t="n">
        <f aca="false">ROI!N9</f>
        <v>0.933524668413448</v>
      </c>
      <c r="E26" s="18" t="str">
        <f aca="false">ROI!V9</f>
        <v>Stop</v>
      </c>
      <c r="F26" s="9" t="n">
        <f aca="false">ROI!R9</f>
        <v>-775306.675697837</v>
      </c>
      <c r="G26" s="19" t="n">
        <f aca="false">SUMPRODUCT((Forecast!C79:N79&lt;1)*(Forecast!C75:N75&gt;0))</f>
        <v>0</v>
      </c>
      <c r="H26" s="20" t="n">
        <f aca="false">IF(SUM(Forecast!C80:N80)=0,"N/A",SUM(Forecast!C88:N88)/SUM(Forecast!C80:N80))</f>
        <v>0</v>
      </c>
    </row>
    <row r="27" customFormat="false" ht="15" hidden="false" customHeight="false" outlineLevel="0" collapsed="false">
      <c r="A27" s="18" t="str">
        <f aca="false">ROI!A10</f>
        <v>Document questions</v>
      </c>
      <c r="B27" s="9" t="n">
        <f aca="false">ROI!J10</f>
        <v>147201.518424617</v>
      </c>
      <c r="C27" s="9" t="n">
        <f aca="false">ROI!L10</f>
        <v>344137.5</v>
      </c>
      <c r="D27" s="13" t="n">
        <f aca="false">ROI!N10</f>
        <v>2.33786650900776</v>
      </c>
      <c r="E27" s="18" t="str">
        <f aca="false">ROI!V10</f>
        <v>Scale</v>
      </c>
      <c r="F27" s="9" t="n">
        <f aca="false">ROI!R10</f>
        <v>-308574.25920701</v>
      </c>
      <c r="G27" s="19" t="n">
        <f aca="false">SUMPRODUCT((Forecast!C96:N96&lt;1)*(Forecast!C92:N92&gt;0))</f>
        <v>0</v>
      </c>
      <c r="H27" s="20" t="n">
        <f aca="false">IF(SUM(Forecast!C97:N97)=0,"N/A",SUM(Forecast!C105:N105)/SUM(Forecast!C97:N97))</f>
        <v>0</v>
      </c>
    </row>
    <row r="30" customFormat="false" ht="23.85" hidden="false" customHeight="false" outlineLevel="0" collapsed="false">
      <c r="A30" s="7" t="s">
        <v>61</v>
      </c>
      <c r="B30" s="7" t="s">
        <v>55</v>
      </c>
      <c r="C30" s="7" t="inlineStr">
        <is>
          <t>Planned benefit ($)</t>
        </is>
      </c>
      <c r="D30" s="7" t="s">
        <v>56</v>
      </c>
    </row>
    <row r="31" customFormat="false" ht="15" hidden="false" customHeight="false" outlineLevel="0" collapsed="false">
      <c r="A31" s="8" t="s">
        <v>62</v>
      </c>
      <c r="B31" s="21" t="n">
        <f aca="false">SUMIF(ROI!$B$5:$B$10,A31,ROI!$J$5:$J$10)</f>
        <v>207300.506574991</v>
      </c>
      <c r="C31" s="21" t="n">
        <f aca="false">SUMIF(ROI!$B$5:$B$10,A31,ROI!$L$5:$L$10)</f>
        <v>1331967</v>
      </c>
      <c r="D31" s="22" t="n">
        <f aca="false">IF(B31=0,"N/A",C31/B31)</f>
        <v>6.42529544190074</v>
      </c>
    </row>
    <row r="32" customFormat="false" ht="15" hidden="false" customHeight="false" outlineLevel="0" collapsed="false">
      <c r="A32" s="8" t="s">
        <v>63</v>
      </c>
      <c r="B32" s="21" t="n">
        <f aca="false">SUMIF(ROI!$B$5:$B$10,A32,ROI!$J$5:$J$10)</f>
        <v>42188.2706315086</v>
      </c>
      <c r="C32" s="21" t="n">
        <f aca="false">SUMIF(ROI!$B$5:$B$10,A32,ROI!$L$5:$L$10)</f>
        <v>398733.3</v>
      </c>
      <c r="D32" s="22" t="n">
        <f aca="false">IF(B32=0,"N/A",C32/B32)</f>
        <v>9.45128335509926</v>
      </c>
    </row>
    <row r="33" customFormat="false" ht="15" hidden="false" customHeight="false" outlineLevel="0" collapsed="false">
      <c r="A33" s="8" t="s">
        <v>64</v>
      </c>
      <c r="B33" s="21" t="n">
        <f aca="false">SUMIF(ROI!$B$5:$B$10,A33,ROI!$J$5:$J$10)</f>
        <v>1087771.5732611</v>
      </c>
      <c r="C33" s="21" t="n">
        <f aca="false">SUMIF(ROI!$B$5:$B$10,A33,ROI!$L$5:$L$10)</f>
        <v>1668352.81464227</v>
      </c>
      <c r="D33" s="22" t="n">
        <f aca="false">IF(B33=0,"N/A",C33/B33)</f>
        <v>1.53373452262648</v>
      </c>
    </row>
    <row r="34" customFormat="false" ht="15" hidden="false" customHeight="false" outlineLevel="0" collapsed="false">
      <c r="A34" s="8" t="s">
        <v>65</v>
      </c>
      <c r="B34" s="21" t="n">
        <f aca="false">SUMIF(ROI!$B$5:$B$10,A34,ROI!$J$5:$J$10)</f>
        <v>1033145.70319726</v>
      </c>
      <c r="C34" s="21" t="n">
        <f aca="false">SUMIF(ROI!$B$5:$B$10,A34,ROI!$L$5:$L$10)</f>
        <v>964467</v>
      </c>
      <c r="D34" s="22" t="n">
        <f aca="false">IF(B34=0,"N/A",C34/B34)</f>
        <v>0.933524668413448</v>
      </c>
    </row>
    <row r="35" customFormat="false" ht="15" hidden="false" customHeight="false" outlineLevel="0" collapsed="false">
      <c r="A35" s="8" t="s">
        <v>66</v>
      </c>
      <c r="B35" s="21" t="n">
        <f aca="false">SUMIF(ROI!$B$5:$B$10,A35,ROI!$J$5:$J$10)</f>
        <v>147201.518424617</v>
      </c>
      <c r="C35" s="21" t="n">
        <f aca="false">SUMIF(ROI!$B$5:$B$10,A35,ROI!$L$5:$L$10)</f>
        <v>344137.5</v>
      </c>
      <c r="D35" s="22" t="n">
        <f aca="false">IF(B35=0,"N/A",C35/B35)</f>
        <v>2.33786650900776</v>
      </c>
    </row>
    <row r="38" customFormat="false" ht="15" hidden="false" customHeight="false" outlineLevel="0" collapsed="false">
      <c r="A38" s="23" t="s">
        <v>67</v>
      </c>
    </row>
    <row r="39" customFormat="false" ht="15" hidden="false" customHeight="false" outlineLevel="0" collapsed="false">
      <c r="A39" s="23" t="s">
        <v>68</v>
      </c>
      <c r="B39" s="23" t="s">
        <v>69</v>
      </c>
      <c r="C39" s="23" t="inlineStr">
        <is>
          <t>Planned benefit</t>
        </is>
      </c>
      <c r="D39" s="23" t="s">
        <v>71</v>
      </c>
    </row>
    <row r="40" customFormat="false" ht="15" hidden="false" customHeight="false" outlineLevel="0" collapsed="false">
      <c r="A40" s="24" t="n">
        <v>1</v>
      </c>
      <c r="B40" s="25" t="n">
        <f aca="false">Forecast!C114</f>
        <v>147830.8279052</v>
      </c>
      <c r="C40" s="25" t="n">
        <f aca="false">Forecast!C117</f>
        <v>0</v>
      </c>
      <c r="D40" s="25" t="n">
        <f aca="false">Forecast!C116</f>
        <v>316811.493254579</v>
      </c>
    </row>
    <row r="41" customFormat="false" ht="15" hidden="false" customHeight="false" outlineLevel="0" collapsed="false">
      <c r="A41" s="24" t="n">
        <v>2</v>
      </c>
      <c r="B41" s="25" t="n">
        <f aca="false">Forecast!D114</f>
        <v>181594.195403965</v>
      </c>
      <c r="C41" s="25" t="n">
        <f aca="false">Forecast!D117</f>
        <v>0</v>
      </c>
      <c r="D41" s="25" t="n">
        <f aca="false">Forecast!D116</f>
        <v>637317.537787094</v>
      </c>
    </row>
    <row r="42" customFormat="false" ht="15" hidden="false" customHeight="false" outlineLevel="0" collapsed="false">
      <c r="A42" s="24" t="n">
        <v>3</v>
      </c>
      <c r="B42" s="25" t="n">
        <f aca="false">Forecast!E114</f>
        <v>215291.966778468</v>
      </c>
      <c r="C42" s="25" t="n">
        <f aca="false">Forecast!E117</f>
        <v>153224.199808103</v>
      </c>
      <c r="D42" s="25" t="n">
        <f aca="false">Forecast!E116</f>
        <v>961622.149616206</v>
      </c>
    </row>
    <row r="43" customFormat="false" ht="15" hidden="false" customHeight="false" outlineLevel="0" collapsed="false">
      <c r="A43" s="24" t="n">
        <v>4</v>
      </c>
      <c r="B43" s="25" t="n">
        <f aca="false">Forecast!F114</f>
        <v>216925.960515487</v>
      </c>
      <c r="C43" s="25" t="n">
        <f aca="false">Forecast!F117</f>
        <v>291841.305437332</v>
      </c>
      <c r="D43" s="25" t="n">
        <f aca="false">Forecast!F116</f>
        <v>1185765.21087466</v>
      </c>
    </row>
    <row r="44" customFormat="false" ht="15" hidden="false" customHeight="false" outlineLevel="0" collapsed="false">
      <c r="A44" s="24" t="n">
        <v>5</v>
      </c>
      <c r="B44" s="25" t="n">
        <f aca="false">Forecast!G114</f>
        <v>218423.339373417</v>
      </c>
      <c r="C44" s="25" t="n">
        <f aca="false">Forecast!G117</f>
        <v>328706.48970178</v>
      </c>
      <c r="D44" s="25" t="n">
        <f aca="false">Forecast!G116</f>
        <v>1295198.72940356</v>
      </c>
    </row>
    <row r="45" customFormat="false" ht="15" hidden="false" customHeight="false" outlineLevel="0" collapsed="false">
      <c r="A45" s="24" t="n">
        <v>6</v>
      </c>
      <c r="B45" s="25" t="n">
        <f aca="false">Forecast!H114</f>
        <v>219863.193563069</v>
      </c>
      <c r="C45" s="25" t="n">
        <f aca="false">Forecast!H117</f>
        <v>539632.665740763</v>
      </c>
      <c r="D45" s="25" t="n">
        <f aca="false">Forecast!H116</f>
        <v>1404742.23148153</v>
      </c>
    </row>
    <row r="46" customFormat="false" ht="15" hidden="false" customHeight="false" outlineLevel="0" collapsed="false">
      <c r="A46" s="24" t="n">
        <v>7</v>
      </c>
      <c r="B46" s="25" t="n">
        <f aca="false">Forecast!I114</f>
        <v>219836.297949668</v>
      </c>
      <c r="C46" s="25" t="n">
        <f aca="false">Forecast!I117</f>
        <v>548711.065709477</v>
      </c>
      <c r="D46" s="25" t="n">
        <f aca="false">Forecast!I116</f>
        <v>1441011.53141895</v>
      </c>
    </row>
    <row r="47" customFormat="false" ht="15" hidden="false" customHeight="false" outlineLevel="0" collapsed="false">
      <c r="A47" s="24" t="n">
        <v>8</v>
      </c>
      <c r="B47" s="25" t="n">
        <f aca="false">Forecast!J114</f>
        <v>219807.045550235</v>
      </c>
      <c r="C47" s="25" t="n">
        <f aca="false">Forecast!J117</f>
        <v>557846.541135911</v>
      </c>
      <c r="D47" s="25" t="n">
        <f aca="false">Forecast!J116</f>
        <v>1477394.98227182</v>
      </c>
    </row>
    <row r="48" customFormat="false" ht="15" hidden="false" customHeight="false" outlineLevel="0" collapsed="false">
      <c r="A48" s="24" t="n">
        <v>9</v>
      </c>
      <c r="B48" s="25" t="n">
        <f aca="false">Forecast!K114</f>
        <v>219775.532334148</v>
      </c>
      <c r="C48" s="25" t="n">
        <f aca="false">Forecast!K117</f>
        <v>567040.163284464</v>
      </c>
      <c r="D48" s="25" t="n">
        <f aca="false">Forecast!K116</f>
        <v>1513894.72656893</v>
      </c>
    </row>
    <row r="49" customFormat="false" ht="15" hidden="false" customHeight="false" outlineLevel="0" collapsed="false">
      <c r="A49" s="24" t="n">
        <v>10</v>
      </c>
      <c r="B49" s="25" t="n">
        <f aca="false">Forecast!L114</f>
        <v>219595.433106221</v>
      </c>
      <c r="C49" s="25" t="n">
        <f aca="false">Forecast!L117</f>
        <v>570255.523526379</v>
      </c>
      <c r="D49" s="25" t="n">
        <f aca="false">Forecast!L116</f>
        <v>1520325.44705276</v>
      </c>
    </row>
    <row r="50" customFormat="false" ht="15" hidden="false" customHeight="false" outlineLevel="0" collapsed="false">
      <c r="A50" s="24" t="n">
        <v>11</v>
      </c>
      <c r="B50" s="25" t="n">
        <f aca="false">Forecast!M114</f>
        <v>219418.65193104</v>
      </c>
      <c r="C50" s="25" t="n">
        <f aca="false">Forecast!M117</f>
        <v>573531.233717136</v>
      </c>
      <c r="D50" s="25" t="n">
        <f aca="false">Forecast!M116</f>
        <v>1526876.86743427</v>
      </c>
    </row>
    <row r="51" customFormat="false" ht="15" hidden="false" customHeight="false" outlineLevel="0" collapsed="false">
      <c r="A51" s="24" t="n">
        <v>12</v>
      </c>
      <c r="B51" s="25" t="n">
        <f aca="false">Forecast!N114</f>
        <v>219245.127678559</v>
      </c>
      <c r="C51" s="25" t="n">
        <f aca="false">Forecast!N117</f>
        <v>576868.426580924</v>
      </c>
      <c r="D51" s="25" t="n">
        <f aca="false">Forecast!N116</f>
        <v>1533551.25316185</v>
      </c>
    </row>
    <row r="52" customFormat="false" ht="15" hidden="false" customHeight="false" outlineLevel="0" collapsed="false">
      <c r="A52" s="24" t="n">
        <v>13</v>
      </c>
      <c r="B52" s="25" t="n">
        <f aca="false">Forecast!O114</f>
        <v>207074.80034496</v>
      </c>
      <c r="C52" s="25" t="n">
        <f aca="false">Forecast!O117</f>
        <v>580268.256102335</v>
      </c>
      <c r="D52" s="25" t="n">
        <f aca="false">Forecast!O116</f>
        <v>1540350.91220467</v>
      </c>
    </row>
    <row r="53" customFormat="false" ht="15" hidden="false" customHeight="false" outlineLevel="0" collapsed="false">
      <c r="A53" s="24" t="n">
        <v>14</v>
      </c>
      <c r="B53" s="25" t="n">
        <f aca="false">Forecast!P114</f>
        <v>206907.611031903</v>
      </c>
      <c r="C53" s="25" t="n">
        <f aca="false">Forecast!P117</f>
        <v>583731.8979254</v>
      </c>
      <c r="D53" s="25" t="n">
        <f aca="false">Forecast!P116</f>
        <v>1547278.1958508</v>
      </c>
    </row>
    <row r="54" customFormat="false" ht="15" hidden="false" customHeight="false" outlineLevel="0" collapsed="false">
      <c r="A54" s="24" t="n">
        <v>15</v>
      </c>
      <c r="B54" s="25" t="n">
        <f aca="false">Forecast!Q114</f>
        <v>206743.50192616</v>
      </c>
      <c r="C54" s="25" t="n">
        <f aca="false">Forecast!Q117</f>
        <v>587260.549760129</v>
      </c>
      <c r="D54" s="25" t="n">
        <f aca="false">Forecast!Q116</f>
        <v>1554335.49952026</v>
      </c>
    </row>
    <row r="55" customFormat="false" ht="15" hidden="false" customHeight="false" outlineLevel="0" collapsed="false">
      <c r="A55" s="24" t="n">
        <v>16</v>
      </c>
      <c r="B55" s="25" t="n">
        <f aca="false">Forecast!R114</f>
        <v>206582.416279625</v>
      </c>
      <c r="C55" s="25" t="n">
        <f aca="false">Forecast!R117</f>
        <v>590855.431796665</v>
      </c>
      <c r="D55" s="25" t="n">
        <f aca="false">Forecast!R116</f>
        <v>1561525.26359333</v>
      </c>
    </row>
    <row r="56" customFormat="false" ht="15" hidden="false" customHeight="false" outlineLevel="0" collapsed="false">
      <c r="A56" s="24" t="n">
        <v>17</v>
      </c>
      <c r="B56" s="25" t="n">
        <f aca="false">Forecast!S114</f>
        <v>206424.298389686</v>
      </c>
      <c r="C56" s="25" t="n">
        <f aca="false">Forecast!S117</f>
        <v>594517.787127225</v>
      </c>
      <c r="D56" s="25" t="n">
        <f aca="false">Forecast!S116</f>
        <v>1568849.97425445</v>
      </c>
    </row>
    <row r="57" customFormat="false" ht="15" hidden="false" customHeight="false" outlineLevel="0" collapsed="false">
      <c r="A57" s="24" t="n">
        <v>18</v>
      </c>
      <c r="B57" s="25" t="n">
        <f aca="false">Forecast!T114</f>
        <v>206269.093579969</v>
      </c>
      <c r="C57" s="25" t="n">
        <f aca="false">Forecast!T117</f>
        <v>598248.882175954</v>
      </c>
      <c r="D57" s="25" t="n">
        <f aca="false">Forecast!T116</f>
        <v>1576312.16435191</v>
      </c>
    </row>
    <row r="58" customFormat="false" ht="15" hidden="false" customHeight="false" outlineLevel="0" collapsed="false">
      <c r="A58" s="24" t="n">
        <v>19</v>
      </c>
      <c r="B58" s="25" t="n">
        <f aca="false">Forecast!U114</f>
        <v>206116.748181428</v>
      </c>
      <c r="C58" s="25" t="n">
        <f aca="false">Forecast!U117</f>
        <v>602050.007136846</v>
      </c>
      <c r="D58" s="25" t="n">
        <f aca="false">Forecast!U116</f>
        <v>1583914.41427369</v>
      </c>
    </row>
    <row r="59" customFormat="false" ht="15" hidden="false" customHeight="false" outlineLevel="0" collapsed="false">
      <c r="A59" s="24" t="n">
        <v>20</v>
      </c>
      <c r="B59" s="25" t="n">
        <f aca="false">Forecast!V114</f>
        <v>205967.209513785</v>
      </c>
      <c r="C59" s="25" t="n">
        <f aca="false">Forecast!V117</f>
        <v>605922.476419889</v>
      </c>
      <c r="D59" s="25" t="n">
        <f aca="false">Forecast!V116</f>
        <v>1591659.35283978</v>
      </c>
    </row>
    <row r="60" customFormat="false" ht="15" hidden="false" customHeight="false" outlineLevel="0" collapsed="false">
      <c r="A60" s="24" t="n">
        <v>21</v>
      </c>
      <c r="B60" s="25" t="n">
        <f aca="false">Forecast!W114</f>
        <v>205820.425867318</v>
      </c>
      <c r="C60" s="25" t="n">
        <f aca="false">Forecast!W117</f>
        <v>609867.629105581</v>
      </c>
      <c r="D60" s="25" t="n">
        <f aca="false">Forecast!W116</f>
        <v>1599549.65821116</v>
      </c>
    </row>
    <row r="61" customFormat="false" ht="15" hidden="false" customHeight="false" outlineLevel="0" collapsed="false">
      <c r="A61" s="24" t="n">
        <v>22</v>
      </c>
      <c r="B61" s="25" t="n">
        <f aca="false">Forecast!X114</f>
        <v>205676.346484977</v>
      </c>
      <c r="C61" s="25" t="n">
        <f aca="false">Forecast!X117</f>
        <v>613886.829407974</v>
      </c>
      <c r="D61" s="25" t="n">
        <f aca="false">Forecast!X116</f>
        <v>1607588.05881595</v>
      </c>
    </row>
    <row r="62" customFormat="false" ht="15" hidden="false" customHeight="false" outlineLevel="0" collapsed="false">
      <c r="A62" s="24" t="n">
        <v>23</v>
      </c>
      <c r="B62" s="25" t="n">
        <f aca="false">Forecast!Y114</f>
        <v>205534.921544832</v>
      </c>
      <c r="C62" s="25" t="n">
        <f aca="false">Forecast!Y117</f>
        <v>617981.46714642</v>
      </c>
      <c r="D62" s="25" t="n">
        <f aca="false">Forecast!Y116</f>
        <v>1615777.33429284</v>
      </c>
    </row>
    <row r="63" customFormat="false" ht="15" hidden="false" customHeight="false" outlineLevel="0" collapsed="false">
      <c r="A63" s="24" t="n">
        <v>24</v>
      </c>
      <c r="B63" s="25" t="n">
        <f aca="false">Forecast!Z114</f>
        <v>205396.102142847</v>
      </c>
      <c r="C63" s="25" t="n">
        <f aca="false">Forecast!Z117</f>
        <v>622152.958226156</v>
      </c>
      <c r="D63" s="25" t="n">
        <f aca="false">Forecast!Z116</f>
        <v>1624120.31645231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6" min="2" style="0" width="15"/>
    <col collapsed="false" customWidth="true" hidden="false" outlineLevel="0" max="7" min="7" style="0" width="58"/>
  </cols>
  <sheetData>
    <row r="1" customFormat="false" ht="17.35" hidden="false" customHeight="false" outlineLevel="0" collapsed="false">
      <c r="A1" s="5" t="s">
        <v>72</v>
      </c>
    </row>
    <row r="2" customFormat="false" ht="15" hidden="false" customHeight="false" outlineLevel="0" collapsed="false">
      <c r="A2" s="6" t="s">
        <v>73</v>
      </c>
    </row>
    <row r="4" customFormat="false" ht="15" hidden="false" customHeight="false" outlineLevel="0" collapsed="false">
      <c r="A4" s="23" t="s">
        <v>74</v>
      </c>
      <c r="B4" s="26" t="s">
        <v>75</v>
      </c>
      <c r="C4" s="6" t="s">
        <v>76</v>
      </c>
    </row>
    <row r="5" customFormat="false" ht="15" hidden="false" customHeight="false" outlineLevel="0" collapsed="false">
      <c r="A5" s="23" t="s">
        <v>77</v>
      </c>
      <c r="B5" s="27" t="n">
        <v>21</v>
      </c>
      <c r="C5" s="6" t="s">
        <v>78</v>
      </c>
    </row>
    <row r="6" customFormat="false" ht="15" hidden="false" customHeight="false" outlineLevel="0" collapsed="false">
      <c r="A6" s="23" t="s">
        <v>79</v>
      </c>
      <c r="B6" s="28" t="n">
        <v>3000000</v>
      </c>
      <c r="C6" s="6" t="s">
        <v>80</v>
      </c>
    </row>
    <row r="7" customFormat="false" ht="15" hidden="false" customHeight="false" outlineLevel="0" collapsed="false">
      <c r="A7" s="23" t="s">
        <v>81</v>
      </c>
      <c r="B7" s="29" t="n">
        <v>2</v>
      </c>
      <c r="C7" s="6" t="s">
        <v>82</v>
      </c>
    </row>
    <row r="8" customFormat="false" ht="15" hidden="false" customHeight="false" outlineLevel="0" collapsed="false">
      <c r="A8" s="23" t="s">
        <v>83</v>
      </c>
      <c r="B8" s="29" t="n">
        <v>1</v>
      </c>
      <c r="C8" s="6" t="s">
        <v>84</v>
      </c>
    </row>
    <row r="9" customFormat="false" ht="15" hidden="false" customHeight="false" outlineLevel="0" collapsed="false">
      <c r="A9" s="23" t="s">
        <v>85</v>
      </c>
      <c r="B9" s="30" t="n">
        <v>46388</v>
      </c>
      <c r="C9" s="6" t="s">
        <v>86</v>
      </c>
    </row>
    <row r="10" customFormat="false" ht="15" hidden="false" customHeight="false" outlineLevel="0" collapsed="false">
      <c r="A10" s="23" t="s">
        <v>87</v>
      </c>
      <c r="B10" s="26" t="s">
        <v>88</v>
      </c>
      <c r="C10" s="6" t="s">
        <v>89</v>
      </c>
    </row>
    <row r="11" customFormat="false" ht="15" hidden="false" customHeight="false" outlineLevel="0" collapsed="false">
      <c r="A11" s="23" t="s">
        <v>90</v>
      </c>
      <c r="B11" s="27" t="n">
        <v>40</v>
      </c>
      <c r="C11" s="6" t="s">
        <v>91</v>
      </c>
    </row>
    <row r="14" customFormat="false" ht="23.85" hidden="false" customHeight="false" outlineLevel="0" collapsed="false">
      <c r="A14" s="7" t="s">
        <v>92</v>
      </c>
      <c r="B14" s="7" t="s">
        <v>93</v>
      </c>
      <c r="C14" s="7" t="s">
        <v>75</v>
      </c>
      <c r="D14" s="7" t="s">
        <v>94</v>
      </c>
      <c r="E14" s="7" t="s">
        <v>95</v>
      </c>
      <c r="F14" s="7" t="s">
        <v>96</v>
      </c>
      <c r="G14" s="7" t="s">
        <v>97</v>
      </c>
    </row>
    <row r="15" customFormat="false" ht="15" hidden="false" customHeight="false" outlineLevel="0" collapsed="false">
      <c r="A15" s="23" t="s">
        <v>98</v>
      </c>
      <c r="B15" s="31" t="n">
        <v>0.7</v>
      </c>
      <c r="C15" s="31" t="n">
        <v>1</v>
      </c>
      <c r="D15" s="31" t="n">
        <v>1.2</v>
      </c>
      <c r="E15" s="31" t="n">
        <v>0.8</v>
      </c>
      <c r="F15" s="31" t="n">
        <v>1</v>
      </c>
      <c r="G15" s="6" t="s">
        <v>99</v>
      </c>
    </row>
    <row r="16" customFormat="false" ht="15" hidden="false" customHeight="false" outlineLevel="0" collapsed="false">
      <c r="A16" s="23" t="s">
        <v>100</v>
      </c>
      <c r="B16" s="31" t="n">
        <v>0.8</v>
      </c>
      <c r="C16" s="31" t="n">
        <v>1</v>
      </c>
      <c r="D16" s="31" t="n">
        <v>1.3</v>
      </c>
      <c r="E16" s="31" t="n">
        <v>0.9</v>
      </c>
      <c r="F16" s="31" t="n">
        <v>1</v>
      </c>
      <c r="G16" s="6" t="s">
        <v>101</v>
      </c>
    </row>
    <row r="17" customFormat="false" ht="15" hidden="false" customHeight="false" outlineLevel="0" collapsed="false">
      <c r="A17" s="23" t="s">
        <v>102</v>
      </c>
      <c r="B17" s="31" t="n">
        <v>0.9</v>
      </c>
      <c r="C17" s="31" t="n">
        <v>1</v>
      </c>
      <c r="D17" s="31" t="n">
        <v>1.5</v>
      </c>
      <c r="E17" s="31" t="n">
        <v>1.2</v>
      </c>
      <c r="F17" s="31" t="n">
        <v>1.2</v>
      </c>
      <c r="G17" s="6" t="s">
        <v>103</v>
      </c>
    </row>
    <row r="18" customFormat="false" ht="15" hidden="false" customHeight="false" outlineLevel="0" collapsed="false">
      <c r="A18" s="23" t="s">
        <v>104</v>
      </c>
      <c r="B18" s="32" t="n">
        <v>-0.3</v>
      </c>
      <c r="C18" s="32" t="n">
        <v>-0.2</v>
      </c>
      <c r="D18" s="32" t="n">
        <v>-0.1</v>
      </c>
      <c r="E18" s="32" t="n">
        <v>-0.1</v>
      </c>
      <c r="F18" s="32" t="n">
        <v>0.25</v>
      </c>
      <c r="G18" s="6" t="s">
        <v>105</v>
      </c>
    </row>
    <row r="19" customFormat="false" ht="15" hidden="false" customHeight="false" outlineLevel="0" collapsed="false">
      <c r="A19" s="23" t="s">
        <v>106</v>
      </c>
      <c r="B19" s="31" t="n">
        <v>1</v>
      </c>
      <c r="C19" s="31" t="n">
        <v>1</v>
      </c>
      <c r="D19" s="31" t="n">
        <v>1</v>
      </c>
      <c r="E19" s="31" t="n">
        <v>0.85</v>
      </c>
      <c r="F19" s="31" t="n">
        <v>1</v>
      </c>
      <c r="G19" s="6" t="s">
        <v>107</v>
      </c>
    </row>
    <row r="20" customFormat="false" ht="15" hidden="false" customHeight="false" outlineLevel="0" collapsed="false">
      <c r="A20" s="23" t="s">
        <v>108</v>
      </c>
      <c r="B20" s="31" t="n">
        <v>1</v>
      </c>
      <c r="C20" s="31" t="n">
        <v>1</v>
      </c>
      <c r="D20" s="31" t="n">
        <v>1</v>
      </c>
      <c r="E20" s="31" t="n">
        <v>1.5</v>
      </c>
      <c r="F20" s="31" t="n">
        <v>1</v>
      </c>
      <c r="G20" s="6" t="s">
        <v>109</v>
      </c>
    </row>
    <row r="21" customFormat="false" ht="15" hidden="false" customHeight="false" outlineLevel="0" collapsed="false">
      <c r="A21" s="23" t="s">
        <v>110</v>
      </c>
      <c r="B21" s="31" t="n">
        <v>1</v>
      </c>
      <c r="C21" s="31" t="n">
        <v>1</v>
      </c>
      <c r="D21" s="31" t="n">
        <v>1</v>
      </c>
      <c r="E21" s="31" t="n">
        <v>0.6</v>
      </c>
      <c r="F21" s="31" t="n">
        <v>1</v>
      </c>
      <c r="G21" s="6" t="s">
        <v>111</v>
      </c>
    </row>
    <row r="22" customFormat="false" ht="15" hidden="false" customHeight="false" outlineLevel="0" collapsed="false">
      <c r="A22" s="23" t="s">
        <v>112</v>
      </c>
      <c r="B22" s="33" t="n">
        <v>0</v>
      </c>
      <c r="C22" s="33" t="n">
        <v>0</v>
      </c>
      <c r="D22" s="33" t="n">
        <v>0</v>
      </c>
      <c r="E22" s="33" t="n">
        <v>3</v>
      </c>
      <c r="F22" s="33" t="n">
        <v>0</v>
      </c>
      <c r="G22" s="6" t="s">
        <v>113</v>
      </c>
    </row>
    <row r="23" customFormat="false" ht="15" hidden="false" customHeight="false" outlineLevel="0" collapsed="false">
      <c r="A23" s="23" t="s">
        <v>114</v>
      </c>
      <c r="B23" s="31" t="n">
        <v>0.9</v>
      </c>
      <c r="C23" s="31" t="n">
        <v>1</v>
      </c>
      <c r="D23" s="31" t="n">
        <v>1.1</v>
      </c>
      <c r="E23" s="31" t="n">
        <v>1.2</v>
      </c>
      <c r="F23" s="31" t="n">
        <v>1</v>
      </c>
      <c r="G23" s="6" t="s">
        <v>115</v>
      </c>
    </row>
    <row r="25" customFormat="false" ht="15" hidden="false" customHeight="false" outlineLevel="0" collapsed="false">
      <c r="A25" s="23" t="s">
        <v>116</v>
      </c>
    </row>
    <row r="26" customFormat="false" ht="15" hidden="false" customHeight="false" outlineLevel="0" collapsed="false">
      <c r="A26" s="34" t="s">
        <v>98</v>
      </c>
      <c r="B26" s="35" t="n">
        <f aca="false">INDEX(B15:F15,MATCH($B$4,$B$14:$F$14,0))</f>
        <v>1</v>
      </c>
    </row>
    <row r="27" customFormat="false" ht="15" hidden="false" customHeight="false" outlineLevel="0" collapsed="false">
      <c r="A27" s="34" t="s">
        <v>100</v>
      </c>
      <c r="B27" s="35" t="n">
        <f aca="false">INDEX(B16:F16,MATCH($B$4,$B$14:$F$14,0))</f>
        <v>1</v>
      </c>
    </row>
    <row r="28" customFormat="false" ht="15" hidden="false" customHeight="false" outlineLevel="0" collapsed="false">
      <c r="A28" s="34" t="s">
        <v>102</v>
      </c>
      <c r="B28" s="35" t="n">
        <f aca="false">INDEX(B17:F17,MATCH($B$4,$B$14:$F$14,0))</f>
        <v>1</v>
      </c>
    </row>
    <row r="29" customFormat="false" ht="15" hidden="false" customHeight="false" outlineLevel="0" collapsed="false">
      <c r="A29" s="34" t="s">
        <v>104</v>
      </c>
      <c r="B29" s="36" t="n">
        <f aca="false">INDEX(B18:F18,MATCH($B$4,$B$14:$F$14,0))</f>
        <v>-0.2</v>
      </c>
    </row>
    <row r="30" customFormat="false" ht="15" hidden="false" customHeight="false" outlineLevel="0" collapsed="false">
      <c r="A30" s="34" t="s">
        <v>106</v>
      </c>
      <c r="B30" s="35" t="n">
        <f aca="false">INDEX(B19:F19,MATCH($B$4,$B$14:$F$14,0))</f>
        <v>1</v>
      </c>
    </row>
    <row r="31" customFormat="false" ht="15" hidden="false" customHeight="false" outlineLevel="0" collapsed="false">
      <c r="A31" s="34" t="s">
        <v>108</v>
      </c>
      <c r="B31" s="35" t="n">
        <f aca="false">INDEX(B20:F20,MATCH($B$4,$B$14:$F$14,0))</f>
        <v>1</v>
      </c>
    </row>
    <row r="32" customFormat="false" ht="15" hidden="false" customHeight="false" outlineLevel="0" collapsed="false">
      <c r="A32" s="34" t="s">
        <v>110</v>
      </c>
      <c r="B32" s="35" t="n">
        <f aca="false">INDEX(B21:F21,MATCH($B$4,$B$14:$F$14,0))</f>
        <v>1</v>
      </c>
    </row>
    <row r="33" customFormat="false" ht="15" hidden="false" customHeight="false" outlineLevel="0" collapsed="false">
      <c r="A33" s="34" t="s">
        <v>112</v>
      </c>
      <c r="B33" s="24" t="n">
        <f aca="false">INDEX(B22:F22,MATCH($B$4,$B$14:$F$14,0))</f>
        <v>0</v>
      </c>
    </row>
    <row r="34" customFormat="false" ht="15" hidden="false" customHeight="false" outlineLevel="0" collapsed="false">
      <c r="A34" s="34" t="s">
        <v>114</v>
      </c>
      <c r="B34" s="35" t="n">
        <f aca="false">INDEX(B23:F23,MATCH($B$4,$B$14:$F$14,0))</f>
        <v>1</v>
      </c>
    </row>
  </sheetData>
  <dataValidations count="2">
    <dataValidation allowBlank="false" errorStyle="stop" operator="between" showDropDown="false" showErrorMessage="false" showInputMessage="false" sqref="B4" type="list">
      <formula1>"Low,Base,High,Business downside,Price rise"</formula1>
      <formula2>0</formula2>
    </dataValidation>
    <dataValidation allowBlank="false" errorStyle="stop" operator="between" showDropDown="false" showErrorMessage="false" showInputMessage="false" sqref="B10" type="list">
      <formula1>"Tasks completed,Token cost,Equal"</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6"/>
    <col collapsed="false" customWidth="true" hidden="false" outlineLevel="0" max="3" min="3" style="0" width="22"/>
    <col collapsed="false" customWidth="true" hidden="false" outlineLevel="0" max="4" min="4" style="0" width="14"/>
    <col collapsed="false" customWidth="true" hidden="false" outlineLevel="0" max="5" min="5" style="0" width="10"/>
    <col collapsed="false" customWidth="true" hidden="false" outlineLevel="0" max="7" min="6" style="0" width="16"/>
    <col collapsed="false" customWidth="true" hidden="false" outlineLevel="0" max="8" min="8" style="0" width="44"/>
  </cols>
  <sheetData>
    <row r="1" customFormat="false" ht="17.35" hidden="false" customHeight="false" outlineLevel="0" collapsed="false">
      <c r="A1" s="5" t="s">
        <v>117</v>
      </c>
    </row>
    <row r="2" customFormat="false" ht="15" hidden="false" customHeight="false" outlineLevel="0" collapsed="false">
      <c r="A2" s="6" t="s">
        <v>118</v>
      </c>
    </row>
    <row r="4" customFormat="false" ht="30" hidden="false" customHeight="true" outlineLevel="0" collapsed="false">
      <c r="A4" s="7" t="s">
        <v>119</v>
      </c>
      <c r="B4" s="7" t="s">
        <v>120</v>
      </c>
      <c r="C4" s="7" t="s">
        <v>121</v>
      </c>
      <c r="D4" s="7" t="s">
        <v>122</v>
      </c>
      <c r="E4" s="7" t="s">
        <v>123</v>
      </c>
      <c r="F4" s="7" t="s">
        <v>124</v>
      </c>
      <c r="G4" s="7" t="s">
        <v>125</v>
      </c>
      <c r="H4" s="7" t="s">
        <v>126</v>
      </c>
    </row>
    <row r="5" customFormat="false" ht="15" hidden="false" customHeight="false" outlineLevel="0" collapsed="false">
      <c r="A5" s="23" t="s">
        <v>127</v>
      </c>
      <c r="B5" s="37" t="s">
        <v>128</v>
      </c>
      <c r="C5" s="37" t="s">
        <v>129</v>
      </c>
      <c r="D5" s="38" t="n">
        <v>46296</v>
      </c>
      <c r="E5" s="37" t="s">
        <v>130</v>
      </c>
      <c r="F5" s="39" t="n">
        <v>0.3</v>
      </c>
      <c r="G5" s="39" t="n">
        <v>1.5</v>
      </c>
      <c r="H5" s="6" t="s">
        <v>131</v>
      </c>
    </row>
    <row r="6" customFormat="false" ht="15" hidden="false" customHeight="false" outlineLevel="0" collapsed="false">
      <c r="A6" s="23" t="s">
        <v>132</v>
      </c>
      <c r="B6" s="37" t="s">
        <v>128</v>
      </c>
      <c r="C6" s="37" t="s">
        <v>133</v>
      </c>
      <c r="D6" s="38" t="n">
        <v>46296</v>
      </c>
      <c r="E6" s="37" t="s">
        <v>130</v>
      </c>
      <c r="F6" s="39" t="n">
        <v>3</v>
      </c>
      <c r="G6" s="39" t="n">
        <v>15</v>
      </c>
      <c r="H6" s="6" t="s">
        <v>134</v>
      </c>
    </row>
    <row r="7" customFormat="false" ht="15" hidden="false" customHeight="false" outlineLevel="0" collapsed="false">
      <c r="A7" s="23" t="s">
        <v>135</v>
      </c>
      <c r="B7" s="37" t="s">
        <v>136</v>
      </c>
      <c r="C7" s="37" t="s">
        <v>137</v>
      </c>
      <c r="D7" s="38" t="n">
        <v>46296</v>
      </c>
      <c r="E7" s="37" t="s">
        <v>130</v>
      </c>
      <c r="F7" s="39" t="n">
        <v>15</v>
      </c>
      <c r="G7" s="39" t="n">
        <v>75</v>
      </c>
      <c r="H7" s="6" t="s">
        <v>138</v>
      </c>
    </row>
    <row r="10" customFormat="false" ht="15" hidden="false" customHeight="false" outlineLevel="0" collapsed="false">
      <c r="A10" s="23" t="s">
        <v>139</v>
      </c>
      <c r="D10" s="40" t="n">
        <v>0.1</v>
      </c>
      <c r="E10" s="6" t="s">
        <v>140</v>
      </c>
    </row>
    <row r="11" customFormat="false" ht="15" hidden="false" customHeight="false" outlineLevel="0" collapsed="false">
      <c r="A11" s="23" t="s">
        <v>141</v>
      </c>
      <c r="D11" s="40" t="n">
        <v>0.5</v>
      </c>
      <c r="E11" s="6" t="s">
        <v>142</v>
      </c>
    </row>
    <row r="12" customFormat="false" ht="15" hidden="false" customHeight="false" outlineLevel="0" collapsed="false">
      <c r="A12" s="6" t="s">
        <v>143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8"/>
    <col collapsed="false" customWidth="true" hidden="false" outlineLevel="0" max="3" min="3" style="0" width="36"/>
    <col collapsed="false" customWidth="true" hidden="false" outlineLevel="0" max="5" min="4" style="0" width="9"/>
    <col collapsed="false" customWidth="true" hidden="false" outlineLevel="0" max="6" min="6" style="0" width="8"/>
    <col collapsed="false" customWidth="true" hidden="false" outlineLevel="0" max="7" min="7" style="0" width="9"/>
    <col collapsed="false" customWidth="true" hidden="false" outlineLevel="0" max="10" min="8" style="0" width="10"/>
    <col collapsed="false" customWidth="true" hidden="false" outlineLevel="0" max="13" min="11" style="0" width="9"/>
    <col collapsed="false" customWidth="true" hidden="false" outlineLevel="0" max="14" min="14" style="0" width="8"/>
    <col collapsed="false" customWidth="true" hidden="false" outlineLevel="0" max="15" min="15" style="0" width="10"/>
    <col collapsed="false" customWidth="true" hidden="false" outlineLevel="0" max="16" min="16" style="0" width="9"/>
    <col collapsed="false" customWidth="true" hidden="false" outlineLevel="0" max="17" min="17" style="0" width="10"/>
    <col collapsed="false" customWidth="true" hidden="false" outlineLevel="0" max="19" min="18" style="0" width="9"/>
    <col collapsed="false" customWidth="true" hidden="false" outlineLevel="0" max="21" min="20" style="0" width="10"/>
    <col collapsed="false" customWidth="true" hidden="false" outlineLevel="0" max="22" min="22" style="0" width="11"/>
    <col collapsed="false" customWidth="true" hidden="false" outlineLevel="0" max="23" min="23" style="0" width="18"/>
    <col collapsed="false" customWidth="true" hidden="false" outlineLevel="0" max="25" min="24" style="0" width="9"/>
    <col collapsed="false" customWidth="true" hidden="false" outlineLevel="0" max="26" min="26" style="0" width="10"/>
    <col collapsed="false" customWidth="true" hidden="false" outlineLevel="0" max="27" min="27" style="0" width="13"/>
    <col collapsed="false" customWidth="true" hidden="false" outlineLevel="0" max="28" min="28" style="0" width="10"/>
  </cols>
  <sheetData>
    <row r="1" customFormat="false" ht="17.35" hidden="false" customHeight="false" outlineLevel="0" collapsed="false">
      <c r="A1" s="5" t="s">
        <v>144</v>
      </c>
    </row>
    <row r="2" customFormat="false" ht="15" hidden="false" customHeight="false" outlineLevel="0" collapsed="false">
      <c r="A2" s="6" t="s">
        <v>145</v>
      </c>
    </row>
    <row r="4" customFormat="false" ht="66" hidden="false" customHeight="true" outlineLevel="0" collapsed="false">
      <c r="A4" s="7" t="s">
        <v>146</v>
      </c>
      <c r="B4" s="7" t="s">
        <v>147</v>
      </c>
      <c r="C4" s="7" t="s">
        <v>148</v>
      </c>
      <c r="D4" s="7" t="s">
        <v>149</v>
      </c>
      <c r="E4" s="7" t="s">
        <v>150</v>
      </c>
      <c r="F4" s="7" t="s">
        <v>151</v>
      </c>
      <c r="G4" s="7" t="s">
        <v>152</v>
      </c>
      <c r="H4" s="7" t="s">
        <v>119</v>
      </c>
      <c r="I4" s="7" t="s">
        <v>153</v>
      </c>
      <c r="J4" s="7" t="s">
        <v>154</v>
      </c>
      <c r="K4" s="7" t="s">
        <v>155</v>
      </c>
      <c r="L4" s="7" t="s">
        <v>156</v>
      </c>
      <c r="M4" s="7" t="s">
        <v>157</v>
      </c>
      <c r="N4" s="7" t="s">
        <v>158</v>
      </c>
      <c r="O4" s="7" t="s">
        <v>159</v>
      </c>
      <c r="P4" s="7" t="s">
        <v>160</v>
      </c>
      <c r="Q4" s="7" t="s">
        <v>161</v>
      </c>
      <c r="R4" s="7" t="s">
        <v>162</v>
      </c>
      <c r="S4" s="7" t="s">
        <v>163</v>
      </c>
      <c r="T4" s="7" t="s">
        <v>164</v>
      </c>
      <c r="U4" s="7" t="s">
        <v>165</v>
      </c>
      <c r="V4" s="7" t="s">
        <v>166</v>
      </c>
      <c r="W4" s="7" t="s">
        <v>167</v>
      </c>
      <c r="X4" s="7" t="s">
        <v>168</v>
      </c>
      <c r="Y4" s="7" t="s">
        <v>169</v>
      </c>
      <c r="Z4" s="7" t="s">
        <v>170</v>
      </c>
      <c r="AA4" s="7" t="s">
        <v>171</v>
      </c>
      <c r="AB4" s="7" t="s">
        <v>172</v>
      </c>
    </row>
    <row r="5" customFormat="false" ht="30" hidden="false" customHeight="true" outlineLevel="0" collapsed="false">
      <c r="A5" s="23" t="s">
        <v>173</v>
      </c>
      <c r="B5" s="37" t="s">
        <v>62</v>
      </c>
      <c r="C5" s="41" t="s">
        <v>174</v>
      </c>
      <c r="D5" s="33" t="n">
        <v>400</v>
      </c>
      <c r="E5" s="32" t="n">
        <v>0.7</v>
      </c>
      <c r="F5" s="33" t="n">
        <v>6</v>
      </c>
      <c r="G5" s="42" t="n">
        <v>12</v>
      </c>
      <c r="H5" s="37" t="s">
        <v>132</v>
      </c>
      <c r="I5" s="33" t="n">
        <v>12000</v>
      </c>
      <c r="J5" s="33" t="n">
        <v>800</v>
      </c>
      <c r="K5" s="42" t="n">
        <v>3</v>
      </c>
      <c r="L5" s="32" t="n">
        <v>0.1</v>
      </c>
      <c r="M5" s="32" t="n">
        <v>0.5</v>
      </c>
      <c r="N5" s="32" t="n">
        <v>0</v>
      </c>
      <c r="O5" s="43" t="n">
        <v>60</v>
      </c>
      <c r="P5" s="32" t="n">
        <v>0.85</v>
      </c>
      <c r="Q5" s="42" t="n">
        <v>6</v>
      </c>
      <c r="R5" s="42" t="n">
        <v>1</v>
      </c>
      <c r="S5" s="43" t="n">
        <v>65</v>
      </c>
      <c r="T5" s="32" t="n">
        <v>0.5</v>
      </c>
      <c r="U5" s="33" t="n">
        <v>4</v>
      </c>
      <c r="V5" s="37" t="s">
        <v>175</v>
      </c>
      <c r="W5" s="37" t="s">
        <v>176</v>
      </c>
      <c r="X5" s="44" t="n">
        <f aca="false">INDEX(Prices!$F$5:$F$7,MATCH(H5,Prices!$A$5:$A$7,0))</f>
        <v>3</v>
      </c>
      <c r="Y5" s="44" t="n">
        <f aca="false">INDEX(Prices!$G$5:$G$7,MATCH(H5,Prices!$A$5:$A$7,0))</f>
        <v>15</v>
      </c>
      <c r="Z5" s="45" t="n">
        <f aca="false">K5*(1+L5)*(I5*X5*((1-M5)+M5*Prices!$D$10)+J5*Y5)/1000000*(1-N5*Prices!$D$11)</f>
        <v>0.10494</v>
      </c>
      <c r="AA5" s="46" t="n">
        <f aca="false">Z5*G5*Assumptions!$B$5</f>
        <v>26.44488</v>
      </c>
      <c r="AB5" s="34" t="str">
        <f aca="false">IF(AA5&gt;O5,"Yes","No")</f>
        <v>No</v>
      </c>
    </row>
    <row r="6" customFormat="false" ht="30" hidden="false" customHeight="true" outlineLevel="0" collapsed="false">
      <c r="A6" s="23" t="s">
        <v>177</v>
      </c>
      <c r="B6" s="37" t="s">
        <v>63</v>
      </c>
      <c r="C6" s="41" t="s">
        <v>178</v>
      </c>
      <c r="D6" s="33" t="n">
        <v>120</v>
      </c>
      <c r="E6" s="32" t="n">
        <v>0.6</v>
      </c>
      <c r="F6" s="33" t="n">
        <v>6</v>
      </c>
      <c r="G6" s="42" t="n">
        <v>5</v>
      </c>
      <c r="H6" s="37" t="s">
        <v>132</v>
      </c>
      <c r="I6" s="33" t="n">
        <v>20000</v>
      </c>
      <c r="J6" s="33" t="n">
        <v>1500</v>
      </c>
      <c r="K6" s="42" t="n">
        <v>4</v>
      </c>
      <c r="L6" s="32" t="n">
        <v>0.1</v>
      </c>
      <c r="M6" s="32" t="n">
        <v>0.4</v>
      </c>
      <c r="N6" s="32" t="n">
        <v>0</v>
      </c>
      <c r="O6" s="43" t="n">
        <v>60</v>
      </c>
      <c r="P6" s="32" t="n">
        <v>0.75</v>
      </c>
      <c r="Q6" s="42" t="n">
        <v>15</v>
      </c>
      <c r="R6" s="42" t="n">
        <v>3</v>
      </c>
      <c r="S6" s="43" t="n">
        <v>85</v>
      </c>
      <c r="T6" s="32" t="n">
        <v>0.4</v>
      </c>
      <c r="U6" s="33" t="n">
        <v>4</v>
      </c>
      <c r="V6" s="37" t="s">
        <v>175</v>
      </c>
      <c r="W6" s="37" t="s">
        <v>179</v>
      </c>
      <c r="X6" s="44" t="n">
        <f aca="false">INDEX(Prices!$F$5:$F$7,MATCH(H6,Prices!$A$5:$A$7,0))</f>
        <v>3</v>
      </c>
      <c r="Y6" s="44" t="n">
        <f aca="false">INDEX(Prices!$G$5:$G$7,MATCH(H6,Prices!$A$5:$A$7,0))</f>
        <v>15</v>
      </c>
      <c r="Z6" s="45" t="n">
        <f aca="false">K6*(1+L6)*(I6*X6*((1-M6)+M6*Prices!$D$10)+J6*Y6)/1000000*(1-N6*Prices!$D$11)</f>
        <v>0.26796</v>
      </c>
      <c r="AA6" s="46" t="n">
        <f aca="false">Z6*G6*Assumptions!$B$5</f>
        <v>28.1358</v>
      </c>
      <c r="AB6" s="34" t="str">
        <f aca="false">IF(AA6&gt;O6,"Yes","No")</f>
        <v>No</v>
      </c>
    </row>
    <row r="7" customFormat="false" ht="30" hidden="false" customHeight="true" outlineLevel="0" collapsed="false">
      <c r="A7" s="23" t="s">
        <v>180</v>
      </c>
      <c r="B7" s="37" t="s">
        <v>63</v>
      </c>
      <c r="C7" s="41" t="s">
        <v>181</v>
      </c>
      <c r="D7" s="33" t="n">
        <v>120</v>
      </c>
      <c r="E7" s="32" t="n">
        <v>0.6</v>
      </c>
      <c r="F7" s="33" t="n">
        <v>6</v>
      </c>
      <c r="G7" s="42" t="n">
        <v>3</v>
      </c>
      <c r="H7" s="37" t="s">
        <v>127</v>
      </c>
      <c r="I7" s="33" t="n">
        <v>8000</v>
      </c>
      <c r="J7" s="33" t="n">
        <v>1200</v>
      </c>
      <c r="K7" s="42" t="n">
        <v>2</v>
      </c>
      <c r="L7" s="32" t="n">
        <v>0.05</v>
      </c>
      <c r="M7" s="32" t="n">
        <v>0.3</v>
      </c>
      <c r="N7" s="32" t="n">
        <v>0</v>
      </c>
      <c r="O7" s="43" t="n">
        <v>15</v>
      </c>
      <c r="P7" s="32" t="n">
        <v>0.8</v>
      </c>
      <c r="Q7" s="42" t="n">
        <v>10</v>
      </c>
      <c r="R7" s="42" t="n">
        <v>2</v>
      </c>
      <c r="S7" s="43" t="n">
        <v>85</v>
      </c>
      <c r="T7" s="32" t="n">
        <v>0.3</v>
      </c>
      <c r="U7" s="33" t="n">
        <v>4</v>
      </c>
      <c r="V7" s="37" t="s">
        <v>175</v>
      </c>
      <c r="W7" s="37" t="s">
        <v>182</v>
      </c>
      <c r="X7" s="44" t="n">
        <f aca="false">INDEX(Prices!$F$5:$F$7,MATCH(H7,Prices!$A$5:$A$7,0))</f>
        <v>0.3</v>
      </c>
      <c r="Y7" s="44" t="n">
        <f aca="false">INDEX(Prices!$G$5:$G$7,MATCH(H7,Prices!$A$5:$A$7,0))</f>
        <v>1.5</v>
      </c>
      <c r="Z7" s="45" t="n">
        <f aca="false">K7*(1+L7)*(I7*X7*((1-M7)+M7*Prices!$D$10)+J7*Y7)/1000000*(1-N7*Prices!$D$11)</f>
        <v>0.0074592</v>
      </c>
      <c r="AA7" s="46" t="n">
        <f aca="false">Z7*G7*Assumptions!$B$5</f>
        <v>0.4699296</v>
      </c>
      <c r="AB7" s="34" t="str">
        <f aca="false">IF(AA7&gt;O7,"Yes","No")</f>
        <v>No</v>
      </c>
    </row>
    <row r="8" customFormat="false" ht="30" hidden="false" customHeight="true" outlineLevel="0" collapsed="false">
      <c r="A8" s="23" t="s">
        <v>183</v>
      </c>
      <c r="B8" s="37" t="s">
        <v>64</v>
      </c>
      <c r="C8" s="41" t="s">
        <v>184</v>
      </c>
      <c r="D8" s="33" t="n">
        <v>200</v>
      </c>
      <c r="E8" s="32" t="n">
        <v>0.8</v>
      </c>
      <c r="F8" s="33" t="n">
        <v>3</v>
      </c>
      <c r="G8" s="42" t="n">
        <v>6</v>
      </c>
      <c r="H8" s="37" t="s">
        <v>135</v>
      </c>
      <c r="I8" s="33" t="n">
        <v>30000</v>
      </c>
      <c r="J8" s="33" t="n">
        <v>4000</v>
      </c>
      <c r="K8" s="42" t="n">
        <v>15</v>
      </c>
      <c r="L8" s="32" t="n">
        <v>0.15</v>
      </c>
      <c r="M8" s="32" t="n">
        <v>0.7</v>
      </c>
      <c r="N8" s="32" t="n">
        <v>0</v>
      </c>
      <c r="O8" s="43" t="n">
        <v>600</v>
      </c>
      <c r="P8" s="32" t="n">
        <v>0.65</v>
      </c>
      <c r="Q8" s="42" t="n">
        <v>30</v>
      </c>
      <c r="R8" s="42" t="n">
        <v>6</v>
      </c>
      <c r="S8" s="43" t="n">
        <v>110</v>
      </c>
      <c r="T8" s="32" t="n">
        <v>0.5</v>
      </c>
      <c r="U8" s="33" t="n">
        <v>3</v>
      </c>
      <c r="V8" s="37" t="s">
        <v>175</v>
      </c>
      <c r="W8" s="37" t="s">
        <v>185</v>
      </c>
      <c r="X8" s="44" t="n">
        <f aca="false">INDEX(Prices!$F$5:$F$7,MATCH(H8,Prices!$A$5:$A$7,0))</f>
        <v>15</v>
      </c>
      <c r="Y8" s="44" t="n">
        <f aca="false">INDEX(Prices!$G$5:$G$7,MATCH(H8,Prices!$A$5:$A$7,0))</f>
        <v>75</v>
      </c>
      <c r="Z8" s="45" t="n">
        <f aca="false">K8*(1+L8)*(I8*X8*((1-M8)+M8*Prices!$D$10)+J8*Y8)/1000000*(1-N8*Prices!$D$11)</f>
        <v>8.047125</v>
      </c>
      <c r="AA8" s="46" t="n">
        <f aca="false">Z8*G8*Assumptions!$B$5</f>
        <v>1013.93775</v>
      </c>
      <c r="AB8" s="34" t="str">
        <f aca="false">IF(AA8&gt;O8,"Yes","No")</f>
        <v>Yes</v>
      </c>
    </row>
    <row r="9" customFormat="false" ht="30" hidden="false" customHeight="true" outlineLevel="0" collapsed="false">
      <c r="A9" s="23" t="s">
        <v>186</v>
      </c>
      <c r="B9" s="37" t="s">
        <v>65</v>
      </c>
      <c r="C9" s="41" t="s">
        <v>187</v>
      </c>
      <c r="D9" s="33" t="n">
        <v>800</v>
      </c>
      <c r="E9" s="32" t="n">
        <v>0.9</v>
      </c>
      <c r="F9" s="33" t="n">
        <v>4</v>
      </c>
      <c r="G9" s="42" t="n">
        <v>30</v>
      </c>
      <c r="H9" s="37" t="s">
        <v>127</v>
      </c>
      <c r="I9" s="33" t="n">
        <v>3000</v>
      </c>
      <c r="J9" s="33" t="n">
        <v>300</v>
      </c>
      <c r="K9" s="42" t="n">
        <v>1</v>
      </c>
      <c r="L9" s="32" t="n">
        <v>0.05</v>
      </c>
      <c r="M9" s="32" t="n">
        <v>0</v>
      </c>
      <c r="N9" s="32" t="n">
        <v>1</v>
      </c>
      <c r="O9" s="43" t="n">
        <v>20</v>
      </c>
      <c r="P9" s="32" t="n">
        <v>0.9</v>
      </c>
      <c r="Q9" s="42" t="n">
        <v>1.5</v>
      </c>
      <c r="R9" s="42" t="n">
        <v>0</v>
      </c>
      <c r="S9" s="43" t="n">
        <v>45</v>
      </c>
      <c r="T9" s="32" t="n">
        <v>0.3</v>
      </c>
      <c r="U9" s="33" t="n">
        <v>6</v>
      </c>
      <c r="V9" s="37" t="s">
        <v>175</v>
      </c>
      <c r="W9" s="37" t="s">
        <v>188</v>
      </c>
      <c r="X9" s="44" t="n">
        <f aca="false">INDEX(Prices!$F$5:$F$7,MATCH(H9,Prices!$A$5:$A$7,0))</f>
        <v>0.3</v>
      </c>
      <c r="Y9" s="44" t="n">
        <f aca="false">INDEX(Prices!$G$5:$G$7,MATCH(H9,Prices!$A$5:$A$7,0))</f>
        <v>1.5</v>
      </c>
      <c r="Z9" s="45" t="n">
        <f aca="false">K9*(1+L9)*(I9*X9*((1-M9)+M9*Prices!$D$10)+J9*Y9)/1000000*(1-N9*Prices!$D$11)</f>
        <v>0.00070875</v>
      </c>
      <c r="AA9" s="46" t="n">
        <f aca="false">Z9*G9*Assumptions!$B$5</f>
        <v>0.4465125</v>
      </c>
      <c r="AB9" s="34" t="str">
        <f aca="false">IF(AA9&gt;O9,"Yes","No")</f>
        <v>No</v>
      </c>
    </row>
    <row r="10" customFormat="false" ht="30" hidden="false" customHeight="true" outlineLevel="0" collapsed="false">
      <c r="A10" s="23" t="s">
        <v>189</v>
      </c>
      <c r="B10" s="37" t="s">
        <v>66</v>
      </c>
      <c r="C10" s="41" t="s">
        <v>190</v>
      </c>
      <c r="D10" s="33" t="n">
        <v>1500</v>
      </c>
      <c r="E10" s="32" t="n">
        <v>0.5</v>
      </c>
      <c r="F10" s="33" t="n">
        <v>9</v>
      </c>
      <c r="G10" s="42" t="n">
        <v>5</v>
      </c>
      <c r="H10" s="37" t="s">
        <v>132</v>
      </c>
      <c r="I10" s="33" t="n">
        <v>4000</v>
      </c>
      <c r="J10" s="33" t="n">
        <v>600</v>
      </c>
      <c r="K10" s="42" t="n">
        <v>1</v>
      </c>
      <c r="L10" s="32" t="n">
        <v>0.05</v>
      </c>
      <c r="M10" s="32" t="n">
        <v>0.2</v>
      </c>
      <c r="N10" s="32" t="n">
        <v>0</v>
      </c>
      <c r="O10" s="43" t="n">
        <v>25</v>
      </c>
      <c r="P10" s="32" t="n">
        <v>0.7</v>
      </c>
      <c r="Q10" s="42" t="n">
        <v>4</v>
      </c>
      <c r="R10" s="42" t="n">
        <v>0.5</v>
      </c>
      <c r="S10" s="43" t="n">
        <v>90</v>
      </c>
      <c r="T10" s="32" t="n">
        <v>0.2</v>
      </c>
      <c r="U10" s="33" t="n">
        <v>6</v>
      </c>
      <c r="V10" s="37" t="s">
        <v>175</v>
      </c>
      <c r="W10" s="37" t="s">
        <v>191</v>
      </c>
      <c r="X10" s="44" t="n">
        <f aca="false">INDEX(Prices!$F$5:$F$7,MATCH(H10,Prices!$A$5:$A$7,0))</f>
        <v>3</v>
      </c>
      <c r="Y10" s="44" t="n">
        <f aca="false">INDEX(Prices!$G$5:$G$7,MATCH(H10,Prices!$A$5:$A$7,0))</f>
        <v>15</v>
      </c>
      <c r="Z10" s="45" t="n">
        <f aca="false">K10*(1+L10)*(I10*X10*((1-M10)+M10*Prices!$D$10)+J10*Y10)/1000000*(1-N10*Prices!$D$11)</f>
        <v>0.019782</v>
      </c>
      <c r="AA10" s="46" t="n">
        <f aca="false">Z10*G10*Assumptions!$B$5</f>
        <v>2.07711</v>
      </c>
      <c r="AB10" s="34" t="str">
        <f aca="false">IF(AA10&gt;O10,"Yes","No")</f>
        <v>No</v>
      </c>
    </row>
    <row r="12" customFormat="false" ht="15" hidden="false" customHeight="false" outlineLevel="0" collapsed="false">
      <c r="A12" s="6" t="s">
        <v>192</v>
      </c>
    </row>
    <row r="13" customFormat="false" ht="15" hidden="false" customHeight="false" outlineLevel="0" collapsed="false">
      <c r="A13" s="6" t="s">
        <v>193</v>
      </c>
    </row>
  </sheetData>
  <dataValidations count="3">
    <dataValidation allowBlank="false" errorStyle="stop" operator="between" showDropDown="false" showErrorMessage="false" showInputMessage="false" sqref="H5:H10" type="list">
      <formula1>"Small,Standard,Frontier"</formula1>
      <formula2>0</formula2>
    </dataValidation>
    <dataValidation allowBlank="false" errorStyle="stop" operator="between" showDropDown="false" showErrorMessage="false" showInputMessage="false" sqref="V5:V10" type="list">
      <formula1>"Yes,No"</formula1>
      <formula2>0</formula2>
    </dataValidation>
    <dataValidation allowBlank="false" error="Enter a share between 0 and 1." errorStyle="stop" errorTitle="Out of range" operator="between" showDropDown="false" showErrorMessage="true" showInputMessage="false" sqref="E5:E10 L5:N10 P5:P10 T5:T10"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4"/>
    <col collapsed="false" customWidth="true" hidden="false" outlineLevel="0" max="4" min="3" style="0" width="11"/>
    <col collapsed="false" customWidth="true" hidden="false" outlineLevel="0" max="5" min="5" style="0" width="16"/>
    <col collapsed="false" customWidth="true" hidden="false" outlineLevel="0" max="6" min="6" style="0" width="56"/>
  </cols>
  <sheetData>
    <row r="1" customFormat="false" ht="17.35" hidden="false" customHeight="false" outlineLevel="0" collapsed="false">
      <c r="A1" s="5" t="s">
        <v>194</v>
      </c>
    </row>
    <row r="2" customFormat="false" ht="15" hidden="false" customHeight="false" outlineLevel="0" collapsed="false">
      <c r="A2" s="6" t="s">
        <v>195</v>
      </c>
    </row>
    <row r="4" customFormat="false" ht="42" hidden="false" customHeight="true" outlineLevel="0" collapsed="false">
      <c r="A4" s="7" t="s">
        <v>196</v>
      </c>
      <c r="B4" s="7" t="s">
        <v>197</v>
      </c>
      <c r="C4" s="7" t="s">
        <v>198</v>
      </c>
      <c r="D4" s="7" t="s">
        <v>199</v>
      </c>
      <c r="E4" s="7" t="s">
        <v>200</v>
      </c>
      <c r="F4" s="7" t="s">
        <v>25</v>
      </c>
    </row>
    <row r="5" customFormat="false" ht="15" hidden="false" customHeight="false" outlineLevel="0" collapsed="false">
      <c r="A5" s="23" t="s">
        <v>201</v>
      </c>
      <c r="B5" s="43" t="n">
        <v>15000</v>
      </c>
      <c r="C5" s="33" t="n">
        <v>1</v>
      </c>
      <c r="D5" s="33" t="n">
        <v>24</v>
      </c>
      <c r="E5" s="32" t="n">
        <v>0.1</v>
      </c>
      <c r="F5" s="6" t="s">
        <v>202</v>
      </c>
    </row>
    <row r="6" customFormat="false" ht="15" hidden="false" customHeight="false" outlineLevel="0" collapsed="false">
      <c r="A6" s="23" t="s">
        <v>203</v>
      </c>
      <c r="B6" s="43" t="n">
        <v>10000</v>
      </c>
      <c r="C6" s="33" t="n">
        <v>1</v>
      </c>
      <c r="D6" s="33" t="n">
        <v>24</v>
      </c>
      <c r="E6" s="32" t="n">
        <v>0.3</v>
      </c>
      <c r="F6" s="6" t="s">
        <v>204</v>
      </c>
    </row>
    <row r="7" customFormat="false" ht="15" hidden="false" customHeight="false" outlineLevel="0" collapsed="false">
      <c r="A7" s="23" t="s">
        <v>205</v>
      </c>
      <c r="B7" s="43" t="n">
        <v>8000</v>
      </c>
      <c r="C7" s="33" t="n">
        <v>1</v>
      </c>
      <c r="D7" s="33" t="n">
        <v>24</v>
      </c>
      <c r="E7" s="32" t="n">
        <v>0.4</v>
      </c>
      <c r="F7" s="6" t="s">
        <v>206</v>
      </c>
    </row>
    <row r="8" customFormat="false" ht="15" hidden="false" customHeight="false" outlineLevel="0" collapsed="false">
      <c r="A8" s="23" t="s">
        <v>207</v>
      </c>
      <c r="B8" s="43" t="n">
        <v>40000</v>
      </c>
      <c r="C8" s="33" t="n">
        <v>1</v>
      </c>
      <c r="D8" s="33" t="n">
        <v>24</v>
      </c>
      <c r="E8" s="32" t="n">
        <v>0</v>
      </c>
      <c r="F8" s="6" t="s">
        <v>208</v>
      </c>
    </row>
    <row r="9" customFormat="false" ht="15" hidden="false" customHeight="false" outlineLevel="0" collapsed="false">
      <c r="A9" s="23" t="s">
        <v>209</v>
      </c>
      <c r="B9" s="43" t="n">
        <v>20000</v>
      </c>
      <c r="C9" s="33" t="n">
        <v>1</v>
      </c>
      <c r="D9" s="33" t="n">
        <v>24</v>
      </c>
      <c r="E9" s="32" t="n">
        <v>0.3</v>
      </c>
      <c r="F9" s="6" t="s">
        <v>210</v>
      </c>
    </row>
    <row r="10" customFormat="false" ht="15" hidden="false" customHeight="false" outlineLevel="0" collapsed="false">
      <c r="A10" s="23" t="s">
        <v>211</v>
      </c>
      <c r="B10" s="43" t="n">
        <v>12000</v>
      </c>
      <c r="C10" s="33" t="n">
        <v>1</v>
      </c>
      <c r="D10" s="33" t="n">
        <v>12</v>
      </c>
      <c r="E10" s="32" t="n">
        <v>0.5</v>
      </c>
      <c r="F10" s="6" t="s">
        <v>212</v>
      </c>
    </row>
    <row r="11" customFormat="false" ht="15" hidden="false" customHeight="false" outlineLevel="0" collapsed="false">
      <c r="A11" s="23" t="s">
        <v>213</v>
      </c>
      <c r="B11" s="43" t="n">
        <v>9000</v>
      </c>
      <c r="C11" s="33" t="n">
        <v>1</v>
      </c>
      <c r="D11" s="33" t="n">
        <v>24</v>
      </c>
      <c r="E11" s="32" t="n">
        <v>0.1</v>
      </c>
      <c r="F11" s="6" t="s">
        <v>214</v>
      </c>
    </row>
    <row r="13" customFormat="false" ht="15" hidden="false" customHeight="false" outlineLevel="0" collapsed="false">
      <c r="A13" s="23" t="s">
        <v>215</v>
      </c>
      <c r="E13" s="36" t="n">
        <f aca="false">IF(SUM(B5:B11)=0,0,SUMPRODUCT(B5:B11,E5:E11)/SUM(B5:B11))</f>
        <v>0.180701754385965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40"/>
    <col collapsed="false" customWidth="true" hidden="false" outlineLevel="0" max="26" min="3" style="0" width="11"/>
  </cols>
  <sheetData>
    <row r="1" customFormat="false" ht="17.35" hidden="false" customHeight="false" outlineLevel="0" collapsed="false">
      <c r="A1" s="5" t="s">
        <v>216</v>
      </c>
    </row>
    <row r="2" customFormat="false" ht="15" hidden="false" customHeight="false" outlineLevel="0" collapsed="false">
      <c r="A2" s="6" t="str">
        <f aca="false">"Scenario: "&amp;Assumptions!$B$4&amp;"   |   Allocation basis: "&amp;Assumptions!$B$10&amp;"   |   all amounts in $"</f>
        <v>Scenario: Base   |   Allocation basis: Tasks completed   |   all amounts in $</v>
      </c>
    </row>
    <row r="3" customFormat="false" ht="15" hidden="false" customHeight="false" outlineLevel="0" collapsed="false">
      <c r="B3" s="23" t="s">
        <v>68</v>
      </c>
      <c r="C3" s="47" t="n">
        <f aca="false">EDATE(Assumptions!$B$9,0)</f>
        <v>46388</v>
      </c>
      <c r="D3" s="47" t="n">
        <f aca="false">EDATE(Assumptions!$B$9,1)</f>
        <v>46419</v>
      </c>
      <c r="E3" s="47" t="n">
        <f aca="false">EDATE(Assumptions!$B$9,2)</f>
        <v>46447</v>
      </c>
      <c r="F3" s="47" t="n">
        <f aca="false">EDATE(Assumptions!$B$9,3)</f>
        <v>46478</v>
      </c>
      <c r="G3" s="47" t="n">
        <f aca="false">EDATE(Assumptions!$B$9,4)</f>
        <v>46508</v>
      </c>
      <c r="H3" s="47" t="n">
        <f aca="false">EDATE(Assumptions!$B$9,5)</f>
        <v>46539</v>
      </c>
      <c r="I3" s="47" t="n">
        <f aca="false">EDATE(Assumptions!$B$9,6)</f>
        <v>46569</v>
      </c>
      <c r="J3" s="47" t="n">
        <f aca="false">EDATE(Assumptions!$B$9,7)</f>
        <v>46600</v>
      </c>
      <c r="K3" s="47" t="n">
        <f aca="false">EDATE(Assumptions!$B$9,8)</f>
        <v>46631</v>
      </c>
      <c r="L3" s="47" t="n">
        <f aca="false">EDATE(Assumptions!$B$9,9)</f>
        <v>46661</v>
      </c>
      <c r="M3" s="47" t="n">
        <f aca="false">EDATE(Assumptions!$B$9,10)</f>
        <v>46692</v>
      </c>
      <c r="N3" s="47" t="n">
        <f aca="false">EDATE(Assumptions!$B$9,11)</f>
        <v>46722</v>
      </c>
      <c r="O3" s="47" t="n">
        <f aca="false">EDATE(Assumptions!$B$9,12)</f>
        <v>46753</v>
      </c>
      <c r="P3" s="47" t="n">
        <f aca="false">EDATE(Assumptions!$B$9,13)</f>
        <v>46784</v>
      </c>
      <c r="Q3" s="47" t="n">
        <f aca="false">EDATE(Assumptions!$B$9,14)</f>
        <v>46813</v>
      </c>
      <c r="R3" s="47" t="n">
        <f aca="false">EDATE(Assumptions!$B$9,15)</f>
        <v>46844</v>
      </c>
      <c r="S3" s="47" t="n">
        <f aca="false">EDATE(Assumptions!$B$9,16)</f>
        <v>46874</v>
      </c>
      <c r="T3" s="47" t="n">
        <f aca="false">EDATE(Assumptions!$B$9,17)</f>
        <v>46905</v>
      </c>
      <c r="U3" s="47" t="n">
        <f aca="false">EDATE(Assumptions!$B$9,18)</f>
        <v>46935</v>
      </c>
      <c r="V3" s="47" t="n">
        <f aca="false">EDATE(Assumptions!$B$9,19)</f>
        <v>46966</v>
      </c>
      <c r="W3" s="47" t="n">
        <f aca="false">EDATE(Assumptions!$B$9,20)</f>
        <v>46997</v>
      </c>
      <c r="X3" s="47" t="n">
        <f aca="false">EDATE(Assumptions!$B$9,21)</f>
        <v>47027</v>
      </c>
      <c r="Y3" s="47" t="n">
        <f aca="false">EDATE(Assumptions!$B$9,22)</f>
        <v>47058</v>
      </c>
      <c r="Z3" s="47" t="n">
        <f aca="false">EDATE(Assumptions!$B$9,23)</f>
        <v>47088</v>
      </c>
    </row>
    <row r="4" customFormat="false" ht="15" hidden="false" customHeight="false" outlineLevel="0" collapsed="false">
      <c r="B4" s="23" t="s">
        <v>217</v>
      </c>
      <c r="C4" s="48" t="n">
        <v>1</v>
      </c>
      <c r="D4" s="48" t="n">
        <v>2</v>
      </c>
      <c r="E4" s="48" t="n">
        <v>3</v>
      </c>
      <c r="F4" s="48" t="n">
        <v>4</v>
      </c>
      <c r="G4" s="48" t="n">
        <v>5</v>
      </c>
      <c r="H4" s="48" t="n">
        <v>6</v>
      </c>
      <c r="I4" s="48" t="n">
        <v>7</v>
      </c>
      <c r="J4" s="48" t="n">
        <v>8</v>
      </c>
      <c r="K4" s="48" t="n">
        <v>9</v>
      </c>
      <c r="L4" s="48" t="n">
        <v>10</v>
      </c>
      <c r="M4" s="48" t="n">
        <v>11</v>
      </c>
      <c r="N4" s="48" t="n">
        <v>12</v>
      </c>
      <c r="O4" s="48" t="n">
        <v>13</v>
      </c>
      <c r="P4" s="48" t="n">
        <v>14</v>
      </c>
      <c r="Q4" s="48" t="n">
        <v>15</v>
      </c>
      <c r="R4" s="48" t="n">
        <v>16</v>
      </c>
      <c r="S4" s="48" t="n">
        <v>17</v>
      </c>
      <c r="T4" s="48" t="n">
        <v>18</v>
      </c>
      <c r="U4" s="48" t="n">
        <v>19</v>
      </c>
      <c r="V4" s="48" t="n">
        <v>20</v>
      </c>
      <c r="W4" s="48" t="n">
        <v>21</v>
      </c>
      <c r="X4" s="48" t="n">
        <v>22</v>
      </c>
      <c r="Y4" s="48" t="n">
        <v>23</v>
      </c>
      <c r="Z4" s="48" t="n">
        <v>24</v>
      </c>
    </row>
    <row r="5" customFormat="false" ht="15" hidden="false" customHeight="false" outlineLevel="0" collapsed="false">
      <c r="B5" s="23" t="s">
        <v>218</v>
      </c>
      <c r="C5" s="49" t="n">
        <f aca="false">(1+Assumptions!$B$29)^((C$4-1)/12)</f>
        <v>1</v>
      </c>
      <c r="D5" s="49" t="n">
        <f aca="false">(1+Assumptions!$B$29)^((D$4-1)/12)</f>
        <v>0.981576529873752</v>
      </c>
      <c r="E5" s="49" t="n">
        <f aca="false">(1+Assumptions!$B$29)^((E$4-1)/12)</f>
        <v>0.963492483998996</v>
      </c>
      <c r="F5" s="49" t="n">
        <f aca="false">(1+Assumptions!$B$29)^((F$4-1)/12)</f>
        <v>0.945741609003176</v>
      </c>
      <c r="G5" s="49" t="n">
        <f aca="false">(1+Assumptions!$B$29)^((G$4-1)/12)</f>
        <v>0.928317766722556</v>
      </c>
      <c r="H5" s="49" t="n">
        <f aca="false">(1+Assumptions!$B$29)^((H$4-1)/12)</f>
        <v>0.911214932079677</v>
      </c>
      <c r="I5" s="49" t="n">
        <f aca="false">(1+Assumptions!$B$29)^((I$4-1)/12)</f>
        <v>0.894427190999916</v>
      </c>
      <c r="J5" s="49" t="n">
        <f aca="false">(1+Assumptions!$B$29)^((J$4-1)/12)</f>
        <v>0.877948738366425</v>
      </c>
      <c r="K5" s="49" t="n">
        <f aca="false">(1+Assumptions!$B$29)^((K$4-1)/12)</f>
        <v>0.861773876012754</v>
      </c>
      <c r="L5" s="49" t="n">
        <f aca="false">(1+Assumptions!$B$29)^((L$4-1)/12)</f>
        <v>0.845897010752451</v>
      </c>
      <c r="M5" s="49" t="n">
        <f aca="false">(1+Assumptions!$B$29)^((M$4-1)/12)</f>
        <v>0.830312652444971</v>
      </c>
      <c r="N5" s="49" t="n">
        <f aca="false">(1+Assumptions!$B$29)^((N$4-1)/12)</f>
        <v>0.815015412097205</v>
      </c>
      <c r="O5" s="49" t="n">
        <f aca="false">(1+Assumptions!$B$29)^((O$4-1)/12)</f>
        <v>0.8</v>
      </c>
      <c r="P5" s="49" t="n">
        <f aca="false">(1+Assumptions!$B$29)^((P$4-1)/12)</f>
        <v>0.785261223899001</v>
      </c>
      <c r="Q5" s="49" t="n">
        <f aca="false">(1+Assumptions!$B$29)^((Q$4-1)/12)</f>
        <v>0.770793987199197</v>
      </c>
      <c r="R5" s="49" t="n">
        <f aca="false">(1+Assumptions!$B$29)^((R$4-1)/12)</f>
        <v>0.756593287202541</v>
      </c>
      <c r="S5" s="49" t="n">
        <f aca="false">(1+Assumptions!$B$29)^((S$4-1)/12)</f>
        <v>0.742654213378045</v>
      </c>
      <c r="T5" s="49" t="n">
        <f aca="false">(1+Assumptions!$B$29)^((T$4-1)/12)</f>
        <v>0.728971945663742</v>
      </c>
      <c r="U5" s="49" t="n">
        <f aca="false">(1+Assumptions!$B$29)^((U$4-1)/12)</f>
        <v>0.715541752799933</v>
      </c>
      <c r="V5" s="49" t="n">
        <f aca="false">(1+Assumptions!$B$29)^((V$4-1)/12)</f>
        <v>0.70235899069314</v>
      </c>
      <c r="W5" s="49" t="n">
        <f aca="false">(1+Assumptions!$B$29)^((W$4-1)/12)</f>
        <v>0.689419100810203</v>
      </c>
      <c r="X5" s="49" t="n">
        <f aca="false">(1+Assumptions!$B$29)^((X$4-1)/12)</f>
        <v>0.676717608601961</v>
      </c>
      <c r="Y5" s="49" t="n">
        <f aca="false">(1+Assumptions!$B$29)^((Y$4-1)/12)</f>
        <v>0.664250121955977</v>
      </c>
      <c r="Z5" s="49" t="n">
        <f aca="false">(1+Assumptions!$B$29)^((Z$4-1)/12)</f>
        <v>0.652012329677764</v>
      </c>
    </row>
    <row r="7" customFormat="false" ht="15" hidden="false" customHeight="false" outlineLevel="0" collapsed="false">
      <c r="A7" s="50" t="str">
        <f aca="false">Workflows!A5</f>
        <v>Claim case summary</v>
      </c>
      <c r="B7" s="34" t="s">
        <v>219</v>
      </c>
      <c r="C7" s="24" t="n">
        <f aca="false">Workflows!$D$5*MIN(1,Workflows!$E$5*Assumptions!$B$26)*MIN(1,C$4/MAX(1,Workflows!$F$5))</f>
        <v>46.6666666666667</v>
      </c>
      <c r="D7" s="24" t="n">
        <f aca="false">Workflows!$D$5*MIN(1,Workflows!$E$5*Assumptions!$B$26)*MIN(1,D$4/MAX(1,Workflows!$F$5))</f>
        <v>93.3333333333333</v>
      </c>
      <c r="E7" s="24" t="n">
        <f aca="false">Workflows!$D$5*MIN(1,Workflows!$E$5*Assumptions!$B$26)*MIN(1,E$4/MAX(1,Workflows!$F$5))</f>
        <v>140</v>
      </c>
      <c r="F7" s="24" t="n">
        <f aca="false">Workflows!$D$5*MIN(1,Workflows!$E$5*Assumptions!$B$26)*MIN(1,F$4/MAX(1,Workflows!$F$5))</f>
        <v>186.666666666667</v>
      </c>
      <c r="G7" s="24" t="n">
        <f aca="false">Workflows!$D$5*MIN(1,Workflows!$E$5*Assumptions!$B$26)*MIN(1,G$4/MAX(1,Workflows!$F$5))</f>
        <v>233.333333333333</v>
      </c>
      <c r="H7" s="24" t="n">
        <f aca="false">Workflows!$D$5*MIN(1,Workflows!$E$5*Assumptions!$B$26)*MIN(1,H$4/MAX(1,Workflows!$F$5))</f>
        <v>280</v>
      </c>
      <c r="I7" s="24" t="n">
        <f aca="false">Workflows!$D$5*MIN(1,Workflows!$E$5*Assumptions!$B$26)*MIN(1,I$4/MAX(1,Workflows!$F$5))</f>
        <v>280</v>
      </c>
      <c r="J7" s="24" t="n">
        <f aca="false">Workflows!$D$5*MIN(1,Workflows!$E$5*Assumptions!$B$26)*MIN(1,J$4/MAX(1,Workflows!$F$5))</f>
        <v>280</v>
      </c>
      <c r="K7" s="24" t="n">
        <f aca="false">Workflows!$D$5*MIN(1,Workflows!$E$5*Assumptions!$B$26)*MIN(1,K$4/MAX(1,Workflows!$F$5))</f>
        <v>280</v>
      </c>
      <c r="L7" s="24" t="n">
        <f aca="false">Workflows!$D$5*MIN(1,Workflows!$E$5*Assumptions!$B$26)*MIN(1,L$4/MAX(1,Workflows!$F$5))</f>
        <v>280</v>
      </c>
      <c r="M7" s="24" t="n">
        <f aca="false">Workflows!$D$5*MIN(1,Workflows!$E$5*Assumptions!$B$26)*MIN(1,M$4/MAX(1,Workflows!$F$5))</f>
        <v>280</v>
      </c>
      <c r="N7" s="24" t="n">
        <f aca="false">Workflows!$D$5*MIN(1,Workflows!$E$5*Assumptions!$B$26)*MIN(1,N$4/MAX(1,Workflows!$F$5))</f>
        <v>280</v>
      </c>
      <c r="O7" s="24" t="n">
        <f aca="false">Workflows!$D$5*MIN(1,Workflows!$E$5*Assumptions!$B$26)*MIN(1,O$4/MAX(1,Workflows!$F$5))</f>
        <v>280</v>
      </c>
      <c r="P7" s="24" t="n">
        <f aca="false">Workflows!$D$5*MIN(1,Workflows!$E$5*Assumptions!$B$26)*MIN(1,P$4/MAX(1,Workflows!$F$5))</f>
        <v>280</v>
      </c>
      <c r="Q7" s="24" t="n">
        <f aca="false">Workflows!$D$5*MIN(1,Workflows!$E$5*Assumptions!$B$26)*MIN(1,Q$4/MAX(1,Workflows!$F$5))</f>
        <v>280</v>
      </c>
      <c r="R7" s="24" t="n">
        <f aca="false">Workflows!$D$5*MIN(1,Workflows!$E$5*Assumptions!$B$26)*MIN(1,R$4/MAX(1,Workflows!$F$5))</f>
        <v>280</v>
      </c>
      <c r="S7" s="24" t="n">
        <f aca="false">Workflows!$D$5*MIN(1,Workflows!$E$5*Assumptions!$B$26)*MIN(1,S$4/MAX(1,Workflows!$F$5))</f>
        <v>280</v>
      </c>
      <c r="T7" s="24" t="n">
        <f aca="false">Workflows!$D$5*MIN(1,Workflows!$E$5*Assumptions!$B$26)*MIN(1,T$4/MAX(1,Workflows!$F$5))</f>
        <v>280</v>
      </c>
      <c r="U7" s="24" t="n">
        <f aca="false">Workflows!$D$5*MIN(1,Workflows!$E$5*Assumptions!$B$26)*MIN(1,U$4/MAX(1,Workflows!$F$5))</f>
        <v>280</v>
      </c>
      <c r="V7" s="24" t="n">
        <f aca="false">Workflows!$D$5*MIN(1,Workflows!$E$5*Assumptions!$B$26)*MIN(1,V$4/MAX(1,Workflows!$F$5))</f>
        <v>280</v>
      </c>
      <c r="W7" s="24" t="n">
        <f aca="false">Workflows!$D$5*MIN(1,Workflows!$E$5*Assumptions!$B$26)*MIN(1,W$4/MAX(1,Workflows!$F$5))</f>
        <v>280</v>
      </c>
      <c r="X7" s="24" t="n">
        <f aca="false">Workflows!$D$5*MIN(1,Workflows!$E$5*Assumptions!$B$26)*MIN(1,X$4/MAX(1,Workflows!$F$5))</f>
        <v>280</v>
      </c>
      <c r="Y7" s="24" t="n">
        <f aca="false">Workflows!$D$5*MIN(1,Workflows!$E$5*Assumptions!$B$26)*MIN(1,Y$4/MAX(1,Workflows!$F$5))</f>
        <v>280</v>
      </c>
      <c r="Z7" s="24" t="n">
        <f aca="false">Workflows!$D$5*MIN(1,Workflows!$E$5*Assumptions!$B$26)*MIN(1,Z$4/MAX(1,Workflows!$F$5))</f>
        <v>280</v>
      </c>
    </row>
    <row r="8" customFormat="false" ht="15" hidden="false" customHeight="false" outlineLevel="0" collapsed="false">
      <c r="A8" s="51" t="str">
        <f aca="false">Workflows!B5</f>
        <v>Claims examiner</v>
      </c>
      <c r="B8" s="34" t="s">
        <v>220</v>
      </c>
      <c r="C8" s="24" t="n">
        <f aca="false">Workflows!$G$5*Assumptions!$B$5*Assumptions!$B$27</f>
        <v>252</v>
      </c>
      <c r="D8" s="24" t="n">
        <f aca="false">Workflows!$G$5*Assumptions!$B$5*Assumptions!$B$27</f>
        <v>252</v>
      </c>
      <c r="E8" s="24" t="n">
        <f aca="false">Workflows!$G$5*Assumptions!$B$5*Assumptions!$B$27</f>
        <v>252</v>
      </c>
      <c r="F8" s="24" t="n">
        <f aca="false">Workflows!$G$5*Assumptions!$B$5*Assumptions!$B$27</f>
        <v>252</v>
      </c>
      <c r="G8" s="24" t="n">
        <f aca="false">Workflows!$G$5*Assumptions!$B$5*Assumptions!$B$27</f>
        <v>252</v>
      </c>
      <c r="H8" s="24" t="n">
        <f aca="false">Workflows!$G$5*Assumptions!$B$5*Assumptions!$B$27</f>
        <v>252</v>
      </c>
      <c r="I8" s="24" t="n">
        <f aca="false">Workflows!$G$5*Assumptions!$B$5*Assumptions!$B$27</f>
        <v>252</v>
      </c>
      <c r="J8" s="24" t="n">
        <f aca="false">Workflows!$G$5*Assumptions!$B$5*Assumptions!$B$27</f>
        <v>252</v>
      </c>
      <c r="K8" s="24" t="n">
        <f aca="false">Workflows!$G$5*Assumptions!$B$5*Assumptions!$B$27</f>
        <v>252</v>
      </c>
      <c r="L8" s="24" t="n">
        <f aca="false">Workflows!$G$5*Assumptions!$B$5*Assumptions!$B$27</f>
        <v>252</v>
      </c>
      <c r="M8" s="24" t="n">
        <f aca="false">Workflows!$G$5*Assumptions!$B$5*Assumptions!$B$27</f>
        <v>252</v>
      </c>
      <c r="N8" s="24" t="n">
        <f aca="false">Workflows!$G$5*Assumptions!$B$5*Assumptions!$B$27</f>
        <v>252</v>
      </c>
      <c r="O8" s="24" t="n">
        <f aca="false">Workflows!$G$5*Assumptions!$B$5*Assumptions!$B$27</f>
        <v>252</v>
      </c>
      <c r="P8" s="24" t="n">
        <f aca="false">Workflows!$G$5*Assumptions!$B$5*Assumptions!$B$27</f>
        <v>252</v>
      </c>
      <c r="Q8" s="24" t="n">
        <f aca="false">Workflows!$G$5*Assumptions!$B$5*Assumptions!$B$27</f>
        <v>252</v>
      </c>
      <c r="R8" s="24" t="n">
        <f aca="false">Workflows!$G$5*Assumptions!$B$5*Assumptions!$B$27</f>
        <v>252</v>
      </c>
      <c r="S8" s="24" t="n">
        <f aca="false">Workflows!$G$5*Assumptions!$B$5*Assumptions!$B$27</f>
        <v>252</v>
      </c>
      <c r="T8" s="24" t="n">
        <f aca="false">Workflows!$G$5*Assumptions!$B$5*Assumptions!$B$27</f>
        <v>252</v>
      </c>
      <c r="U8" s="24" t="n">
        <f aca="false">Workflows!$G$5*Assumptions!$B$5*Assumptions!$B$27</f>
        <v>252</v>
      </c>
      <c r="V8" s="24" t="n">
        <f aca="false">Workflows!$G$5*Assumptions!$B$5*Assumptions!$B$27</f>
        <v>252</v>
      </c>
      <c r="W8" s="24" t="n">
        <f aca="false">Workflows!$G$5*Assumptions!$B$5*Assumptions!$B$27</f>
        <v>252</v>
      </c>
      <c r="X8" s="24" t="n">
        <f aca="false">Workflows!$G$5*Assumptions!$B$5*Assumptions!$B$27</f>
        <v>252</v>
      </c>
      <c r="Y8" s="24" t="n">
        <f aca="false">Workflows!$G$5*Assumptions!$B$5*Assumptions!$B$27</f>
        <v>252</v>
      </c>
      <c r="Z8" s="24" t="n">
        <f aca="false">Workflows!$G$5*Assumptions!$B$5*Assumptions!$B$27</f>
        <v>252</v>
      </c>
    </row>
    <row r="9" customFormat="false" ht="15" hidden="false" customHeight="false" outlineLevel="0" collapsed="false">
      <c r="B9" s="34" t="s">
        <v>170</v>
      </c>
      <c r="C9" s="45" t="n">
        <f aca="false">Workflows!$Z$5*Assumptions!$B$28*C$5</f>
        <v>0.10494</v>
      </c>
      <c r="D9" s="45" t="n">
        <f aca="false">Workflows!$Z$5*Assumptions!$B$28*D$5</f>
        <v>0.103006641044952</v>
      </c>
      <c r="E9" s="45" t="n">
        <f aca="false">Workflows!$Z$5*Assumptions!$B$28*E$5</f>
        <v>0.101108901270855</v>
      </c>
      <c r="F9" s="45" t="n">
        <f aca="false">Workflows!$Z$5*Assumptions!$B$28*F$5</f>
        <v>0.0992461244487933</v>
      </c>
      <c r="G9" s="45" t="n">
        <f aca="false">Workflows!$Z$5*Assumptions!$B$28*G$5</f>
        <v>0.097417666439865</v>
      </c>
      <c r="H9" s="45" t="n">
        <f aca="false">Workflows!$Z$5*Assumptions!$B$28*H$5</f>
        <v>0.0956228949724413</v>
      </c>
      <c r="I9" s="45" t="n">
        <f aca="false">Workflows!$Z$5*Assumptions!$B$28*I$5</f>
        <v>0.0938611894235312</v>
      </c>
      <c r="J9" s="45" t="n">
        <f aca="false">Workflows!$Z$5*Assumptions!$B$28*J$5</f>
        <v>0.0921319406041726</v>
      </c>
      <c r="K9" s="45" t="n">
        <f aca="false">Workflows!$Z$5*Assumptions!$B$28*K$5</f>
        <v>0.0904345505487784</v>
      </c>
      <c r="L9" s="45" t="n">
        <f aca="false">Workflows!$Z$5*Assumptions!$B$28*L$5</f>
        <v>0.0887684323083623</v>
      </c>
      <c r="M9" s="45" t="n">
        <f aca="false">Workflows!$Z$5*Assumptions!$B$28*M$5</f>
        <v>0.0871330097475753</v>
      </c>
      <c r="N9" s="45" t="n">
        <f aca="false">Workflows!$Z$5*Assumptions!$B$28*N$5</f>
        <v>0.0855277173454807</v>
      </c>
      <c r="O9" s="45" t="n">
        <f aca="false">Workflows!$Z$5*Assumptions!$B$28*O$5</f>
        <v>0.083952</v>
      </c>
      <c r="P9" s="45" t="n">
        <f aca="false">Workflows!$Z$5*Assumptions!$B$28*P$5</f>
        <v>0.0824053128359612</v>
      </c>
      <c r="Q9" s="45" t="n">
        <f aca="false">Workflows!$Z$5*Assumptions!$B$28*Q$5</f>
        <v>0.0808871210166837</v>
      </c>
      <c r="R9" s="45" t="n">
        <f aca="false">Workflows!$Z$5*Assumptions!$B$28*R$5</f>
        <v>0.0793968995590346</v>
      </c>
      <c r="S9" s="45" t="n">
        <f aca="false">Workflows!$Z$5*Assumptions!$B$28*S$5</f>
        <v>0.077934133151892</v>
      </c>
      <c r="T9" s="45" t="n">
        <f aca="false">Workflows!$Z$5*Assumptions!$B$28*T$5</f>
        <v>0.0764983159779531</v>
      </c>
      <c r="U9" s="45" t="n">
        <f aca="false">Workflows!$Z$5*Assumptions!$B$28*U$5</f>
        <v>0.075088951538825</v>
      </c>
      <c r="V9" s="45" t="n">
        <f aca="false">Workflows!$Z$5*Assumptions!$B$28*V$5</f>
        <v>0.0737055524833381</v>
      </c>
      <c r="W9" s="45" t="n">
        <f aca="false">Workflows!$Z$5*Assumptions!$B$28*W$5</f>
        <v>0.0723476404390227</v>
      </c>
      <c r="X9" s="45" t="n">
        <f aca="false">Workflows!$Z$5*Assumptions!$B$28*X$5</f>
        <v>0.0710147458466898</v>
      </c>
      <c r="Y9" s="45" t="n">
        <f aca="false">Workflows!$Z$5*Assumptions!$B$28*Y$5</f>
        <v>0.0697064077980602</v>
      </c>
      <c r="Z9" s="45" t="n">
        <f aca="false">Workflows!$Z$5*Assumptions!$B$28*Z$5</f>
        <v>0.0684221738763846</v>
      </c>
    </row>
    <row r="10" customFormat="false" ht="15" hidden="false" customHeight="false" outlineLevel="0" collapsed="false">
      <c r="B10" s="34" t="s">
        <v>221</v>
      </c>
      <c r="C10" s="46" t="n">
        <f aca="false">MIN(C8*C9,Workflows!$O$5)</f>
        <v>26.44488</v>
      </c>
      <c r="D10" s="46" t="n">
        <f aca="false">MIN(D8*D9,Workflows!$O$5)</f>
        <v>25.9576735433278</v>
      </c>
      <c r="E10" s="46" t="n">
        <f aca="false">MIN(E8*E9,Workflows!$O$5)</f>
        <v>25.4794431202554</v>
      </c>
      <c r="F10" s="46" t="n">
        <f aca="false">MIN(F8*F9,Workflows!$O$5)</f>
        <v>25.0100233610959</v>
      </c>
      <c r="G10" s="46" t="n">
        <f aca="false">MIN(G8*G9,Workflows!$O$5)</f>
        <v>24.549251942846</v>
      </c>
      <c r="H10" s="46" t="n">
        <f aca="false">MIN(H8*H9,Workflows!$O$5)</f>
        <v>24.0969695330552</v>
      </c>
      <c r="I10" s="46" t="n">
        <f aca="false">MIN(I8*I9,Workflows!$O$5)</f>
        <v>23.6530197347299</v>
      </c>
      <c r="J10" s="46" t="n">
        <f aca="false">MIN(J8*J9,Workflows!$O$5)</f>
        <v>23.2172490322515</v>
      </c>
      <c r="K10" s="46" t="n">
        <f aca="false">MIN(K8*K9,Workflows!$O$5)</f>
        <v>22.7895067382922</v>
      </c>
      <c r="L10" s="46" t="n">
        <f aca="false">MIN(L8*L9,Workflows!$O$5)</f>
        <v>22.3696449417073</v>
      </c>
      <c r="M10" s="46" t="n">
        <f aca="false">MIN(M8*M9,Workflows!$O$5)</f>
        <v>21.957518456389</v>
      </c>
      <c r="N10" s="46" t="n">
        <f aca="false">MIN(N8*N9,Workflows!$O$5)</f>
        <v>21.5529847710611</v>
      </c>
      <c r="O10" s="46" t="n">
        <f aca="false">MIN(O8*O9,Workflows!$O$5)</f>
        <v>21.155904</v>
      </c>
      <c r="P10" s="46" t="n">
        <f aca="false">MIN(P8*P9,Workflows!$O$5)</f>
        <v>20.7661388346622</v>
      </c>
      <c r="Q10" s="46" t="n">
        <f aca="false">MIN(Q8*Q9,Workflows!$O$5)</f>
        <v>20.3835544962043</v>
      </c>
      <c r="R10" s="46" t="n">
        <f aca="false">MIN(R8*R9,Workflows!$O$5)</f>
        <v>20.0080186888767</v>
      </c>
      <c r="S10" s="46" t="n">
        <f aca="false">MIN(S8*S9,Workflows!$O$5)</f>
        <v>19.6394015542768</v>
      </c>
      <c r="T10" s="46" t="n">
        <f aca="false">MIN(T8*T9,Workflows!$O$5)</f>
        <v>19.2775756264442</v>
      </c>
      <c r="U10" s="46" t="n">
        <f aca="false">MIN(U8*U9,Workflows!$O$5)</f>
        <v>18.9224157877839</v>
      </c>
      <c r="V10" s="46" t="n">
        <f aca="false">MIN(V8*V9,Workflows!$O$5)</f>
        <v>18.5737992258012</v>
      </c>
      <c r="W10" s="46" t="n">
        <f aca="false">MIN(W8*W9,Workflows!$O$5)</f>
        <v>18.2316053906337</v>
      </c>
      <c r="X10" s="46" t="n">
        <f aca="false">MIN(X8*X9,Workflows!$O$5)</f>
        <v>17.8957159533658</v>
      </c>
      <c r="Y10" s="46" t="n">
        <f aca="false">MIN(Y8*Y9,Workflows!$O$5)</f>
        <v>17.5660147651112</v>
      </c>
      <c r="Z10" s="46" t="n">
        <f aca="false">MIN(Z8*Z9,Workflows!$O$5)</f>
        <v>17.2423878168489</v>
      </c>
    </row>
    <row r="11" customFormat="false" ht="15" hidden="false" customHeight="false" outlineLevel="0" collapsed="false">
      <c r="B11" s="34" t="s">
        <v>222</v>
      </c>
      <c r="C11" s="36" t="n">
        <f aca="false">IF(C8*C9=0,1,MIN(1,Workflows!$O$5/(C8*C9)))</f>
        <v>1</v>
      </c>
      <c r="D11" s="36" t="n">
        <f aca="false">IF(D8*D9=0,1,MIN(1,Workflows!$O$5/(D8*D9)))</f>
        <v>1</v>
      </c>
      <c r="E11" s="36" t="n">
        <f aca="false">IF(E8*E9=0,1,MIN(1,Workflows!$O$5/(E8*E9)))</f>
        <v>1</v>
      </c>
      <c r="F11" s="36" t="n">
        <f aca="false">IF(F8*F9=0,1,MIN(1,Workflows!$O$5/(F8*F9)))</f>
        <v>1</v>
      </c>
      <c r="G11" s="36" t="n">
        <f aca="false">IF(G8*G9=0,1,MIN(1,Workflows!$O$5/(G8*G9)))</f>
        <v>1</v>
      </c>
      <c r="H11" s="36" t="n">
        <f aca="false">IF(H8*H9=0,1,MIN(1,Workflows!$O$5/(H8*H9)))</f>
        <v>1</v>
      </c>
      <c r="I11" s="36" t="n">
        <f aca="false">IF(I8*I9=0,1,MIN(1,Workflows!$O$5/(I8*I9)))</f>
        <v>1</v>
      </c>
      <c r="J11" s="36" t="n">
        <f aca="false">IF(J8*J9=0,1,MIN(1,Workflows!$O$5/(J8*J9)))</f>
        <v>1</v>
      </c>
      <c r="K11" s="36" t="n">
        <f aca="false">IF(K8*K9=0,1,MIN(1,Workflows!$O$5/(K8*K9)))</f>
        <v>1</v>
      </c>
      <c r="L11" s="36" t="n">
        <f aca="false">IF(L8*L9=0,1,MIN(1,Workflows!$O$5/(L8*L9)))</f>
        <v>1</v>
      </c>
      <c r="M11" s="36" t="n">
        <f aca="false">IF(M8*M9=0,1,MIN(1,Workflows!$O$5/(M8*M9)))</f>
        <v>1</v>
      </c>
      <c r="N11" s="36" t="n">
        <f aca="false">IF(N8*N9=0,1,MIN(1,Workflows!$O$5/(N8*N9)))</f>
        <v>1</v>
      </c>
      <c r="O11" s="36" t="n">
        <f aca="false">IF(O8*O9=0,1,MIN(1,Workflows!$O$5/(O8*O9)))</f>
        <v>1</v>
      </c>
      <c r="P11" s="36" t="n">
        <f aca="false">IF(P8*P9=0,1,MIN(1,Workflows!$O$5/(P8*P9)))</f>
        <v>1</v>
      </c>
      <c r="Q11" s="36" t="n">
        <f aca="false">IF(Q8*Q9=0,1,MIN(1,Workflows!$O$5/(Q8*Q9)))</f>
        <v>1</v>
      </c>
      <c r="R11" s="36" t="n">
        <f aca="false">IF(R8*R9=0,1,MIN(1,Workflows!$O$5/(R8*R9)))</f>
        <v>1</v>
      </c>
      <c r="S11" s="36" t="n">
        <f aca="false">IF(S8*S9=0,1,MIN(1,Workflows!$O$5/(S8*S9)))</f>
        <v>1</v>
      </c>
      <c r="T11" s="36" t="n">
        <f aca="false">IF(T8*T9=0,1,MIN(1,Workflows!$O$5/(T8*T9)))</f>
        <v>1</v>
      </c>
      <c r="U11" s="36" t="n">
        <f aca="false">IF(U8*U9=0,1,MIN(1,Workflows!$O$5/(U8*U9)))</f>
        <v>1</v>
      </c>
      <c r="V11" s="36" t="n">
        <f aca="false">IF(V8*V9=0,1,MIN(1,Workflows!$O$5/(V8*V9)))</f>
        <v>1</v>
      </c>
      <c r="W11" s="36" t="n">
        <f aca="false">IF(W8*W9=0,1,MIN(1,Workflows!$O$5/(W8*W9)))</f>
        <v>1</v>
      </c>
      <c r="X11" s="36" t="n">
        <f aca="false">IF(X8*X9=0,1,MIN(1,Workflows!$O$5/(X8*X9)))</f>
        <v>1</v>
      </c>
      <c r="Y11" s="36" t="n">
        <f aca="false">IF(Y8*Y9=0,1,MIN(1,Workflows!$O$5/(Y8*Y9)))</f>
        <v>1</v>
      </c>
      <c r="Z11" s="36" t="n">
        <f aca="false">IF(Z8*Z9=0,1,MIN(1,Workflows!$O$5/(Z8*Z9)))</f>
        <v>1</v>
      </c>
    </row>
    <row r="12" customFormat="false" ht="15" hidden="false" customHeight="false" outlineLevel="0" collapsed="false">
      <c r="B12" s="34" t="s">
        <v>223</v>
      </c>
      <c r="C12" s="24" t="n">
        <f aca="false">C7*C8</f>
        <v>11760</v>
      </c>
      <c r="D12" s="24" t="n">
        <f aca="false">D7*D8</f>
        <v>23520</v>
      </c>
      <c r="E12" s="24" t="n">
        <f aca="false">E7*E8</f>
        <v>35280</v>
      </c>
      <c r="F12" s="24" t="n">
        <f aca="false">F7*F8</f>
        <v>47040</v>
      </c>
      <c r="G12" s="24" t="n">
        <f aca="false">G7*G8</f>
        <v>58800</v>
      </c>
      <c r="H12" s="24" t="n">
        <f aca="false">H7*H8</f>
        <v>70560</v>
      </c>
      <c r="I12" s="24" t="n">
        <f aca="false">I7*I8</f>
        <v>70560</v>
      </c>
      <c r="J12" s="24" t="n">
        <f aca="false">J7*J8</f>
        <v>70560</v>
      </c>
      <c r="K12" s="24" t="n">
        <f aca="false">K7*K8</f>
        <v>70560</v>
      </c>
      <c r="L12" s="24" t="n">
        <f aca="false">L7*L8</f>
        <v>70560</v>
      </c>
      <c r="M12" s="24" t="n">
        <f aca="false">M7*M8</f>
        <v>70560</v>
      </c>
      <c r="N12" s="24" t="n">
        <f aca="false">N7*N8</f>
        <v>70560</v>
      </c>
      <c r="O12" s="24" t="n">
        <f aca="false">O7*O8</f>
        <v>70560</v>
      </c>
      <c r="P12" s="24" t="n">
        <f aca="false">P7*P8</f>
        <v>70560</v>
      </c>
      <c r="Q12" s="24" t="n">
        <f aca="false">Q7*Q8</f>
        <v>70560</v>
      </c>
      <c r="R12" s="24" t="n">
        <f aca="false">R7*R8</f>
        <v>70560</v>
      </c>
      <c r="S12" s="24" t="n">
        <f aca="false">S7*S8</f>
        <v>70560</v>
      </c>
      <c r="T12" s="24" t="n">
        <f aca="false">T7*T8</f>
        <v>70560</v>
      </c>
      <c r="U12" s="24" t="n">
        <f aca="false">U7*U8</f>
        <v>70560</v>
      </c>
      <c r="V12" s="24" t="n">
        <f aca="false">V7*V8</f>
        <v>70560</v>
      </c>
      <c r="W12" s="24" t="n">
        <f aca="false">W7*W8</f>
        <v>70560</v>
      </c>
      <c r="X12" s="24" t="n">
        <f aca="false">X7*X8</f>
        <v>70560</v>
      </c>
      <c r="Y12" s="24" t="n">
        <f aca="false">Y7*Y8</f>
        <v>70560</v>
      </c>
      <c r="Z12" s="24" t="n">
        <f aca="false">Z7*Z8</f>
        <v>70560</v>
      </c>
    </row>
    <row r="13" customFormat="false" ht="15" hidden="false" customHeight="false" outlineLevel="0" collapsed="false">
      <c r="B13" s="34" t="s">
        <v>88</v>
      </c>
      <c r="C13" s="24" t="n">
        <f aca="false">C12*C11</f>
        <v>11760</v>
      </c>
      <c r="D13" s="24" t="n">
        <f aca="false">D12*D11</f>
        <v>23520</v>
      </c>
      <c r="E13" s="24" t="n">
        <f aca="false">E12*E11</f>
        <v>35280</v>
      </c>
      <c r="F13" s="24" t="n">
        <f aca="false">F12*F11</f>
        <v>47040</v>
      </c>
      <c r="G13" s="24" t="n">
        <f aca="false">G12*G11</f>
        <v>58800</v>
      </c>
      <c r="H13" s="24" t="n">
        <f aca="false">H12*H11</f>
        <v>70560</v>
      </c>
      <c r="I13" s="24" t="n">
        <f aca="false">I12*I11</f>
        <v>70560</v>
      </c>
      <c r="J13" s="24" t="n">
        <f aca="false">J12*J11</f>
        <v>70560</v>
      </c>
      <c r="K13" s="24" t="n">
        <f aca="false">K12*K11</f>
        <v>70560</v>
      </c>
      <c r="L13" s="24" t="n">
        <f aca="false">L12*L11</f>
        <v>70560</v>
      </c>
      <c r="M13" s="24" t="n">
        <f aca="false">M12*M11</f>
        <v>70560</v>
      </c>
      <c r="N13" s="24" t="n">
        <f aca="false">N12*N11</f>
        <v>70560</v>
      </c>
      <c r="O13" s="24" t="n">
        <f aca="false">O12*O11</f>
        <v>70560</v>
      </c>
      <c r="P13" s="24" t="n">
        <f aca="false">P12*P11</f>
        <v>70560</v>
      </c>
      <c r="Q13" s="24" t="n">
        <f aca="false">Q12*Q11</f>
        <v>70560</v>
      </c>
      <c r="R13" s="24" t="n">
        <f aca="false">R12*R11</f>
        <v>70560</v>
      </c>
      <c r="S13" s="24" t="n">
        <f aca="false">S12*S11</f>
        <v>70560</v>
      </c>
      <c r="T13" s="24" t="n">
        <f aca="false">T12*T11</f>
        <v>70560</v>
      </c>
      <c r="U13" s="24" t="n">
        <f aca="false">U12*U11</f>
        <v>70560</v>
      </c>
      <c r="V13" s="24" t="n">
        <f aca="false">V12*V11</f>
        <v>70560</v>
      </c>
      <c r="W13" s="24" t="n">
        <f aca="false">W12*W11</f>
        <v>70560</v>
      </c>
      <c r="X13" s="24" t="n">
        <f aca="false">X12*X11</f>
        <v>70560</v>
      </c>
      <c r="Y13" s="24" t="n">
        <f aca="false">Y12*Y11</f>
        <v>70560</v>
      </c>
      <c r="Z13" s="24" t="n">
        <f aca="false">Z12*Z11</f>
        <v>70560</v>
      </c>
    </row>
    <row r="14" customFormat="false" ht="15" hidden="false" customHeight="false" outlineLevel="0" collapsed="false">
      <c r="B14" s="34" t="s">
        <v>224</v>
      </c>
      <c r="C14" s="24" t="n">
        <f aca="false">C13*MIN(1,Workflows!$P$5*Assumptions!$B$30)</f>
        <v>9996</v>
      </c>
      <c r="D14" s="24" t="n">
        <f aca="false">D13*MIN(1,Workflows!$P$5*Assumptions!$B$30)</f>
        <v>19992</v>
      </c>
      <c r="E14" s="24" t="n">
        <f aca="false">E13*MIN(1,Workflows!$P$5*Assumptions!$B$30)</f>
        <v>29988</v>
      </c>
      <c r="F14" s="24" t="n">
        <f aca="false">F13*MIN(1,Workflows!$P$5*Assumptions!$B$30)</f>
        <v>39984</v>
      </c>
      <c r="G14" s="24" t="n">
        <f aca="false">G13*MIN(1,Workflows!$P$5*Assumptions!$B$30)</f>
        <v>49980</v>
      </c>
      <c r="H14" s="24" t="n">
        <f aca="false">H13*MIN(1,Workflows!$P$5*Assumptions!$B$30)</f>
        <v>59976</v>
      </c>
      <c r="I14" s="24" t="n">
        <f aca="false">I13*MIN(1,Workflows!$P$5*Assumptions!$B$30)</f>
        <v>59976</v>
      </c>
      <c r="J14" s="24" t="n">
        <f aca="false">J13*MIN(1,Workflows!$P$5*Assumptions!$B$30)</f>
        <v>59976</v>
      </c>
      <c r="K14" s="24" t="n">
        <f aca="false">K13*MIN(1,Workflows!$P$5*Assumptions!$B$30)</f>
        <v>59976</v>
      </c>
      <c r="L14" s="24" t="n">
        <f aca="false">L13*MIN(1,Workflows!$P$5*Assumptions!$B$30)</f>
        <v>59976</v>
      </c>
      <c r="M14" s="24" t="n">
        <f aca="false">M13*MIN(1,Workflows!$P$5*Assumptions!$B$30)</f>
        <v>59976</v>
      </c>
      <c r="N14" s="24" t="n">
        <f aca="false">N13*MIN(1,Workflows!$P$5*Assumptions!$B$30)</f>
        <v>59976</v>
      </c>
      <c r="O14" s="24" t="n">
        <f aca="false">O13*MIN(1,Workflows!$P$5*Assumptions!$B$30)</f>
        <v>59976</v>
      </c>
      <c r="P14" s="24" t="n">
        <f aca="false">P13*MIN(1,Workflows!$P$5*Assumptions!$B$30)</f>
        <v>59976</v>
      </c>
      <c r="Q14" s="24" t="n">
        <f aca="false">Q13*MIN(1,Workflows!$P$5*Assumptions!$B$30)</f>
        <v>59976</v>
      </c>
      <c r="R14" s="24" t="n">
        <f aca="false">R13*MIN(1,Workflows!$P$5*Assumptions!$B$30)</f>
        <v>59976</v>
      </c>
      <c r="S14" s="24" t="n">
        <f aca="false">S13*MIN(1,Workflows!$P$5*Assumptions!$B$30)</f>
        <v>59976</v>
      </c>
      <c r="T14" s="24" t="n">
        <f aca="false">T13*MIN(1,Workflows!$P$5*Assumptions!$B$30)</f>
        <v>59976</v>
      </c>
      <c r="U14" s="24" t="n">
        <f aca="false">U13*MIN(1,Workflows!$P$5*Assumptions!$B$30)</f>
        <v>59976</v>
      </c>
      <c r="V14" s="24" t="n">
        <f aca="false">V13*MIN(1,Workflows!$P$5*Assumptions!$B$30)</f>
        <v>59976</v>
      </c>
      <c r="W14" s="24" t="n">
        <f aca="false">W13*MIN(1,Workflows!$P$5*Assumptions!$B$30)</f>
        <v>59976</v>
      </c>
      <c r="X14" s="24" t="n">
        <f aca="false">X13*MIN(1,Workflows!$P$5*Assumptions!$B$30)</f>
        <v>59976</v>
      </c>
      <c r="Y14" s="24" t="n">
        <f aca="false">Y13*MIN(1,Workflows!$P$5*Assumptions!$B$30)</f>
        <v>59976</v>
      </c>
      <c r="Z14" s="24" t="n">
        <f aca="false">Z13*MIN(1,Workflows!$P$5*Assumptions!$B$30)</f>
        <v>59976</v>
      </c>
    </row>
    <row r="15" customFormat="false" ht="15" hidden="false" customHeight="false" outlineLevel="0" collapsed="false">
      <c r="B15" s="34" t="s">
        <v>225</v>
      </c>
      <c r="C15" s="46" t="n">
        <f aca="false">C7*C10</f>
        <v>1234.0944</v>
      </c>
      <c r="D15" s="46" t="n">
        <f aca="false">D7*D10</f>
        <v>2422.71619737726</v>
      </c>
      <c r="E15" s="46" t="n">
        <f aca="false">E7*E10</f>
        <v>3567.12203683575</v>
      </c>
      <c r="F15" s="46" t="n">
        <f aca="false">F7*F10</f>
        <v>4668.53769407124</v>
      </c>
      <c r="G15" s="46" t="n">
        <f aca="false">G7*G10</f>
        <v>5728.15878666406</v>
      </c>
      <c r="H15" s="46" t="n">
        <f aca="false">H7*H10</f>
        <v>6747.15146925546</v>
      </c>
      <c r="I15" s="46" t="n">
        <f aca="false">I7*I10</f>
        <v>6622.84552572436</v>
      </c>
      <c r="J15" s="46" t="n">
        <f aca="false">J7*J10</f>
        <v>6500.82972903042</v>
      </c>
      <c r="K15" s="46" t="n">
        <f aca="false">K7*K10</f>
        <v>6381.0618867218</v>
      </c>
      <c r="L15" s="46" t="n">
        <f aca="false">L7*L10</f>
        <v>6263.50058367804</v>
      </c>
      <c r="M15" s="46" t="n">
        <f aca="false">M7*M10</f>
        <v>6148.10516778891</v>
      </c>
      <c r="N15" s="46" t="n">
        <f aca="false">N7*N10</f>
        <v>6034.83573589712</v>
      </c>
      <c r="O15" s="46" t="n">
        <f aca="false">O7*O10</f>
        <v>5923.65312</v>
      </c>
      <c r="P15" s="46" t="n">
        <f aca="false">P7*P10</f>
        <v>5814.51887370542</v>
      </c>
      <c r="Q15" s="46" t="n">
        <f aca="false">Q7*Q10</f>
        <v>5707.39525893721</v>
      </c>
      <c r="R15" s="46" t="n">
        <f aca="false">R7*R10</f>
        <v>5602.24523288548</v>
      </c>
      <c r="S15" s="46" t="n">
        <f aca="false">S7*S10</f>
        <v>5499.0324351975</v>
      </c>
      <c r="T15" s="46" t="n">
        <f aca="false">T7*T10</f>
        <v>5397.72117540437</v>
      </c>
      <c r="U15" s="46" t="n">
        <f aca="false">U7*U10</f>
        <v>5298.27642057949</v>
      </c>
      <c r="V15" s="46" t="n">
        <f aca="false">V7*V10</f>
        <v>5200.66378322434</v>
      </c>
      <c r="W15" s="46" t="n">
        <f aca="false">W7*W10</f>
        <v>5104.84950937744</v>
      </c>
      <c r="X15" s="46" t="n">
        <f aca="false">X7*X10</f>
        <v>5010.80046694243</v>
      </c>
      <c r="Y15" s="46" t="n">
        <f aca="false">Y7*Y10</f>
        <v>4918.48413423113</v>
      </c>
      <c r="Z15" s="46" t="n">
        <f aca="false">Z7*Z10</f>
        <v>4827.86858871769</v>
      </c>
    </row>
    <row r="16" customFormat="false" ht="15" hidden="false" customHeight="false" outlineLevel="0" collapsed="false">
      <c r="B16" s="34" t="s">
        <v>32</v>
      </c>
      <c r="C16" s="24" t="n">
        <f aca="false">MAX(0,C14*Workflows!$Q$5-IF(Workflows!$V$5="Yes",0,C13*Workflows!$R$5*Assumptions!$B$31))/60</f>
        <v>803.6</v>
      </c>
      <c r="D16" s="24" t="n">
        <f aca="false">MAX(0,D14*Workflows!$Q$5-IF(Workflows!$V$5="Yes",0,D13*Workflows!$R$5*Assumptions!$B$31))/60</f>
        <v>1607.2</v>
      </c>
      <c r="E16" s="24" t="n">
        <f aca="false">MAX(0,E14*Workflows!$Q$5-IF(Workflows!$V$5="Yes",0,E13*Workflows!$R$5*Assumptions!$B$31))/60</f>
        <v>2410.8</v>
      </c>
      <c r="F16" s="24" t="n">
        <f aca="false">MAX(0,F14*Workflows!$Q$5-IF(Workflows!$V$5="Yes",0,F13*Workflows!$R$5*Assumptions!$B$31))/60</f>
        <v>3214.4</v>
      </c>
      <c r="G16" s="24" t="n">
        <f aca="false">MAX(0,G14*Workflows!$Q$5-IF(Workflows!$V$5="Yes",0,G13*Workflows!$R$5*Assumptions!$B$31))/60</f>
        <v>4018</v>
      </c>
      <c r="H16" s="24" t="n">
        <f aca="false">MAX(0,H14*Workflows!$Q$5-IF(Workflows!$V$5="Yes",0,H13*Workflows!$R$5*Assumptions!$B$31))/60</f>
        <v>4821.6</v>
      </c>
      <c r="I16" s="24" t="n">
        <f aca="false">MAX(0,I14*Workflows!$Q$5-IF(Workflows!$V$5="Yes",0,I13*Workflows!$R$5*Assumptions!$B$31))/60</f>
        <v>4821.6</v>
      </c>
      <c r="J16" s="24" t="n">
        <f aca="false">MAX(0,J14*Workflows!$Q$5-IF(Workflows!$V$5="Yes",0,J13*Workflows!$R$5*Assumptions!$B$31))/60</f>
        <v>4821.6</v>
      </c>
      <c r="K16" s="24" t="n">
        <f aca="false">MAX(0,K14*Workflows!$Q$5-IF(Workflows!$V$5="Yes",0,K13*Workflows!$R$5*Assumptions!$B$31))/60</f>
        <v>4821.6</v>
      </c>
      <c r="L16" s="24" t="n">
        <f aca="false">MAX(0,L14*Workflows!$Q$5-IF(Workflows!$V$5="Yes",0,L13*Workflows!$R$5*Assumptions!$B$31))/60</f>
        <v>4821.6</v>
      </c>
      <c r="M16" s="24" t="n">
        <f aca="false">MAX(0,M14*Workflows!$Q$5-IF(Workflows!$V$5="Yes",0,M13*Workflows!$R$5*Assumptions!$B$31))/60</f>
        <v>4821.6</v>
      </c>
      <c r="N16" s="24" t="n">
        <f aca="false">MAX(0,N14*Workflows!$Q$5-IF(Workflows!$V$5="Yes",0,N13*Workflows!$R$5*Assumptions!$B$31))/60</f>
        <v>4821.6</v>
      </c>
      <c r="O16" s="24" t="n">
        <f aca="false">MAX(0,O14*Workflows!$Q$5-IF(Workflows!$V$5="Yes",0,O13*Workflows!$R$5*Assumptions!$B$31))/60</f>
        <v>4821.6</v>
      </c>
      <c r="P16" s="24" t="n">
        <f aca="false">MAX(0,P14*Workflows!$Q$5-IF(Workflows!$V$5="Yes",0,P13*Workflows!$R$5*Assumptions!$B$31))/60</f>
        <v>4821.6</v>
      </c>
      <c r="Q16" s="24" t="n">
        <f aca="false">MAX(0,Q14*Workflows!$Q$5-IF(Workflows!$V$5="Yes",0,Q13*Workflows!$R$5*Assumptions!$B$31))/60</f>
        <v>4821.6</v>
      </c>
      <c r="R16" s="24" t="n">
        <f aca="false">MAX(0,R14*Workflows!$Q$5-IF(Workflows!$V$5="Yes",0,R13*Workflows!$R$5*Assumptions!$B$31))/60</f>
        <v>4821.6</v>
      </c>
      <c r="S16" s="24" t="n">
        <f aca="false">MAX(0,S14*Workflows!$Q$5-IF(Workflows!$V$5="Yes",0,S13*Workflows!$R$5*Assumptions!$B$31))/60</f>
        <v>4821.6</v>
      </c>
      <c r="T16" s="24" t="n">
        <f aca="false">MAX(0,T14*Workflows!$Q$5-IF(Workflows!$V$5="Yes",0,T13*Workflows!$R$5*Assumptions!$B$31))/60</f>
        <v>4821.6</v>
      </c>
      <c r="U16" s="24" t="n">
        <f aca="false">MAX(0,U14*Workflows!$Q$5-IF(Workflows!$V$5="Yes",0,U13*Workflows!$R$5*Assumptions!$B$31))/60</f>
        <v>4821.6</v>
      </c>
      <c r="V16" s="24" t="n">
        <f aca="false">MAX(0,V14*Workflows!$Q$5-IF(Workflows!$V$5="Yes",0,V13*Workflows!$R$5*Assumptions!$B$31))/60</f>
        <v>4821.6</v>
      </c>
      <c r="W16" s="24" t="n">
        <f aca="false">MAX(0,W14*Workflows!$Q$5-IF(Workflows!$V$5="Yes",0,W13*Workflows!$R$5*Assumptions!$B$31))/60</f>
        <v>4821.6</v>
      </c>
      <c r="X16" s="24" t="n">
        <f aca="false">MAX(0,X14*Workflows!$Q$5-IF(Workflows!$V$5="Yes",0,X13*Workflows!$R$5*Assumptions!$B$31))/60</f>
        <v>4821.6</v>
      </c>
      <c r="Y16" s="24" t="n">
        <f aca="false">MAX(0,Y14*Workflows!$Q$5-IF(Workflows!$V$5="Yes",0,Y13*Workflows!$R$5*Assumptions!$B$31))/60</f>
        <v>4821.6</v>
      </c>
      <c r="Z16" s="24" t="n">
        <f aca="false">MAX(0,Z14*Workflows!$Q$5-IF(Workflows!$V$5="Yes",0,Z13*Workflows!$R$5*Assumptions!$B$31))/60</f>
        <v>4821.6</v>
      </c>
    </row>
    <row r="17" customFormat="false" ht="15" hidden="false" customHeight="false" outlineLevel="0" collapsed="false">
      <c r="B17" s="34" t="s">
        <v>34</v>
      </c>
      <c r="C17" s="46" t="n">
        <f aca="false">C16*Workflows!$S$5</f>
        <v>52234</v>
      </c>
      <c r="D17" s="46" t="n">
        <f aca="false">D16*Workflows!$S$5</f>
        <v>104468</v>
      </c>
      <c r="E17" s="46" t="n">
        <f aca="false">E16*Workflows!$S$5</f>
        <v>156702</v>
      </c>
      <c r="F17" s="46" t="n">
        <f aca="false">F16*Workflows!$S$5</f>
        <v>208936</v>
      </c>
      <c r="G17" s="46" t="n">
        <f aca="false">G16*Workflows!$S$5</f>
        <v>261170</v>
      </c>
      <c r="H17" s="46" t="n">
        <f aca="false">H16*Workflows!$S$5</f>
        <v>313404</v>
      </c>
      <c r="I17" s="46" t="n">
        <f aca="false">I16*Workflows!$S$5</f>
        <v>313404</v>
      </c>
      <c r="J17" s="46" t="n">
        <f aca="false">J16*Workflows!$S$5</f>
        <v>313404</v>
      </c>
      <c r="K17" s="46" t="n">
        <f aca="false">K16*Workflows!$S$5</f>
        <v>313404</v>
      </c>
      <c r="L17" s="46" t="n">
        <f aca="false">L16*Workflows!$S$5</f>
        <v>313404</v>
      </c>
      <c r="M17" s="46" t="n">
        <f aca="false">M16*Workflows!$S$5</f>
        <v>313404</v>
      </c>
      <c r="N17" s="46" t="n">
        <f aca="false">N16*Workflows!$S$5</f>
        <v>313404</v>
      </c>
      <c r="O17" s="46" t="n">
        <f aca="false">O16*Workflows!$S$5</f>
        <v>313404</v>
      </c>
      <c r="P17" s="46" t="n">
        <f aca="false">P16*Workflows!$S$5</f>
        <v>313404</v>
      </c>
      <c r="Q17" s="46" t="n">
        <f aca="false">Q16*Workflows!$S$5</f>
        <v>313404</v>
      </c>
      <c r="R17" s="46" t="n">
        <f aca="false">R16*Workflows!$S$5</f>
        <v>313404</v>
      </c>
      <c r="S17" s="46" t="n">
        <f aca="false">S16*Workflows!$S$5</f>
        <v>313404</v>
      </c>
      <c r="T17" s="46" t="n">
        <f aca="false">T16*Workflows!$S$5</f>
        <v>313404</v>
      </c>
      <c r="U17" s="46" t="n">
        <f aca="false">U16*Workflows!$S$5</f>
        <v>313404</v>
      </c>
      <c r="V17" s="46" t="n">
        <f aca="false">V16*Workflows!$S$5</f>
        <v>313404</v>
      </c>
      <c r="W17" s="46" t="n">
        <f aca="false">W16*Workflows!$S$5</f>
        <v>313404</v>
      </c>
      <c r="X17" s="46" t="n">
        <f aca="false">X16*Workflows!$S$5</f>
        <v>313404</v>
      </c>
      <c r="Y17" s="46" t="n">
        <f aca="false">Y16*Workflows!$S$5</f>
        <v>313404</v>
      </c>
      <c r="Z17" s="46" t="n">
        <f aca="false">Z16*Workflows!$S$5</f>
        <v>313404</v>
      </c>
    </row>
    <row r="18" customFormat="false" ht="15" hidden="false" customHeight="false" outlineLevel="0" collapsed="false">
      <c r="B18" s="34" t="inlineStr">
        <is>
          <t>Planned benefit ($)</t>
        </is>
      </c>
      <c r="C18" s="46" t="n">
        <f aca="false">IF(C$4&gt;=Workflows!$U$5+Assumptions!$B$33,C17*MIN(1,Workflows!$T$5*Assumptions!$B$32),0)</f>
        <v>0</v>
      </c>
      <c r="D18" s="46" t="n">
        <f aca="false">IF(D$4&gt;=Workflows!$U$5+Assumptions!$B$33,D17*MIN(1,Workflows!$T$5*Assumptions!$B$32),0)</f>
        <v>0</v>
      </c>
      <c r="E18" s="46" t="n">
        <f aca="false">IF(E$4&gt;=Workflows!$U$5+Assumptions!$B$33,E17*MIN(1,Workflows!$T$5*Assumptions!$B$32),0)</f>
        <v>0</v>
      </c>
      <c r="F18" s="46" t="n">
        <f aca="false">IF(F$4&gt;=Workflows!$U$5+Assumptions!$B$33,F17*MIN(1,Workflows!$T$5*Assumptions!$B$32),0)</f>
        <v>104468</v>
      </c>
      <c r="G18" s="46" t="n">
        <f aca="false">IF(G$4&gt;=Workflows!$U$5+Assumptions!$B$33,G17*MIN(1,Workflows!$T$5*Assumptions!$B$32),0)</f>
        <v>130585</v>
      </c>
      <c r="H18" s="46" t="n">
        <f aca="false">IF(H$4&gt;=Workflows!$U$5+Assumptions!$B$33,H17*MIN(1,Workflows!$T$5*Assumptions!$B$32),0)</f>
        <v>156702</v>
      </c>
      <c r="I18" s="46" t="n">
        <f aca="false">IF(I$4&gt;=Workflows!$U$5+Assumptions!$B$33,I17*MIN(1,Workflows!$T$5*Assumptions!$B$32),0)</f>
        <v>156702</v>
      </c>
      <c r="J18" s="46" t="n">
        <f aca="false">IF(J$4&gt;=Workflows!$U$5+Assumptions!$B$33,J17*MIN(1,Workflows!$T$5*Assumptions!$B$32),0)</f>
        <v>156702</v>
      </c>
      <c r="K18" s="46" t="n">
        <f aca="false">IF(K$4&gt;=Workflows!$U$5+Assumptions!$B$33,K17*MIN(1,Workflows!$T$5*Assumptions!$B$32),0)</f>
        <v>156702</v>
      </c>
      <c r="L18" s="46" t="n">
        <f aca="false">IF(L$4&gt;=Workflows!$U$5+Assumptions!$B$33,L17*MIN(1,Workflows!$T$5*Assumptions!$B$32),0)</f>
        <v>156702</v>
      </c>
      <c r="M18" s="46" t="n">
        <f aca="false">IF(M$4&gt;=Workflows!$U$5+Assumptions!$B$33,M17*MIN(1,Workflows!$T$5*Assumptions!$B$32),0)</f>
        <v>156702</v>
      </c>
      <c r="N18" s="46" t="n">
        <f aca="false">IF(N$4&gt;=Workflows!$U$5+Assumptions!$B$33,N17*MIN(1,Workflows!$T$5*Assumptions!$B$32),0)</f>
        <v>156702</v>
      </c>
      <c r="O18" s="46" t="n">
        <f aca="false">IF(O$4&gt;=Workflows!$U$5+Assumptions!$B$33,O17*MIN(1,Workflows!$T$5*Assumptions!$B$32),0)</f>
        <v>156702</v>
      </c>
      <c r="P18" s="46" t="n">
        <f aca="false">IF(P$4&gt;=Workflows!$U$5+Assumptions!$B$33,P17*MIN(1,Workflows!$T$5*Assumptions!$B$32),0)</f>
        <v>156702</v>
      </c>
      <c r="Q18" s="46" t="n">
        <f aca="false">IF(Q$4&gt;=Workflows!$U$5+Assumptions!$B$33,Q17*MIN(1,Workflows!$T$5*Assumptions!$B$32),0)</f>
        <v>156702</v>
      </c>
      <c r="R18" s="46" t="n">
        <f aca="false">IF(R$4&gt;=Workflows!$U$5+Assumptions!$B$33,R17*MIN(1,Workflows!$T$5*Assumptions!$B$32),0)</f>
        <v>156702</v>
      </c>
      <c r="S18" s="46" t="n">
        <f aca="false">IF(S$4&gt;=Workflows!$U$5+Assumptions!$B$33,S17*MIN(1,Workflows!$T$5*Assumptions!$B$32),0)</f>
        <v>156702</v>
      </c>
      <c r="T18" s="46" t="n">
        <f aca="false">IF(T$4&gt;=Workflows!$U$5+Assumptions!$B$33,T17*MIN(1,Workflows!$T$5*Assumptions!$B$32),0)</f>
        <v>156702</v>
      </c>
      <c r="U18" s="46" t="n">
        <f aca="false">IF(U$4&gt;=Workflows!$U$5+Assumptions!$B$33,U17*MIN(1,Workflows!$T$5*Assumptions!$B$32),0)</f>
        <v>156702</v>
      </c>
      <c r="V18" s="46" t="n">
        <f aca="false">IF(V$4&gt;=Workflows!$U$5+Assumptions!$B$33,V17*MIN(1,Workflows!$T$5*Assumptions!$B$32),0)</f>
        <v>156702</v>
      </c>
      <c r="W18" s="46" t="n">
        <f aca="false">IF(W$4&gt;=Workflows!$U$5+Assumptions!$B$33,W17*MIN(1,Workflows!$T$5*Assumptions!$B$32),0)</f>
        <v>156702</v>
      </c>
      <c r="X18" s="46" t="n">
        <f aca="false">IF(X$4&gt;=Workflows!$U$5+Assumptions!$B$33,X17*MIN(1,Workflows!$T$5*Assumptions!$B$32),0)</f>
        <v>156702</v>
      </c>
      <c r="Y18" s="46" t="n">
        <f aca="false">IF(Y$4&gt;=Workflows!$U$5+Assumptions!$B$33,Y17*MIN(1,Workflows!$T$5*Assumptions!$B$32),0)</f>
        <v>156702</v>
      </c>
      <c r="Z18" s="46" t="n">
        <f aca="false">IF(Z$4&gt;=Workflows!$U$5+Assumptions!$B$33,Z17*MIN(1,Workflows!$T$5*Assumptions!$B$32),0)</f>
        <v>156702</v>
      </c>
    </row>
    <row r="19" customFormat="false" ht="15" hidden="false" customHeight="false" outlineLevel="0" collapsed="false">
      <c r="B19" s="34" t="s">
        <v>226</v>
      </c>
      <c r="C19" s="46" t="n">
        <f aca="false">IF(Workflows!$V$5="Yes",C13*Workflows!$R$5*Assumptions!$B$31/60*Workflows!$S$5,0)</f>
        <v>0</v>
      </c>
      <c r="D19" s="46" t="n">
        <f aca="false">IF(Workflows!$V$5="Yes",D13*Workflows!$R$5*Assumptions!$B$31/60*Workflows!$S$5,0)</f>
        <v>0</v>
      </c>
      <c r="E19" s="46" t="n">
        <f aca="false">IF(Workflows!$V$5="Yes",E13*Workflows!$R$5*Assumptions!$B$31/60*Workflows!$S$5,0)</f>
        <v>0</v>
      </c>
      <c r="F19" s="46" t="n">
        <f aca="false">IF(Workflows!$V$5="Yes",F13*Workflows!$R$5*Assumptions!$B$31/60*Workflows!$S$5,0)</f>
        <v>0</v>
      </c>
      <c r="G19" s="46" t="n">
        <f aca="false">IF(Workflows!$V$5="Yes",G13*Workflows!$R$5*Assumptions!$B$31/60*Workflows!$S$5,0)</f>
        <v>0</v>
      </c>
      <c r="H19" s="46" t="n">
        <f aca="false">IF(Workflows!$V$5="Yes",H13*Workflows!$R$5*Assumptions!$B$31/60*Workflows!$S$5,0)</f>
        <v>0</v>
      </c>
      <c r="I19" s="46" t="n">
        <f aca="false">IF(Workflows!$V$5="Yes",I13*Workflows!$R$5*Assumptions!$B$31/60*Workflows!$S$5,0)</f>
        <v>0</v>
      </c>
      <c r="J19" s="46" t="n">
        <f aca="false">IF(Workflows!$V$5="Yes",J13*Workflows!$R$5*Assumptions!$B$31/60*Workflows!$S$5,0)</f>
        <v>0</v>
      </c>
      <c r="K19" s="46" t="n">
        <f aca="false">IF(Workflows!$V$5="Yes",K13*Workflows!$R$5*Assumptions!$B$31/60*Workflows!$S$5,0)</f>
        <v>0</v>
      </c>
      <c r="L19" s="46" t="n">
        <f aca="false">IF(Workflows!$V$5="Yes",L13*Workflows!$R$5*Assumptions!$B$31/60*Workflows!$S$5,0)</f>
        <v>0</v>
      </c>
      <c r="M19" s="46" t="n">
        <f aca="false">IF(Workflows!$V$5="Yes",M13*Workflows!$R$5*Assumptions!$B$31/60*Workflows!$S$5,0)</f>
        <v>0</v>
      </c>
      <c r="N19" s="46" t="n">
        <f aca="false">IF(Workflows!$V$5="Yes",N13*Workflows!$R$5*Assumptions!$B$31/60*Workflows!$S$5,0)</f>
        <v>0</v>
      </c>
      <c r="O19" s="46" t="n">
        <f aca="false">IF(Workflows!$V$5="Yes",O13*Workflows!$R$5*Assumptions!$B$31/60*Workflows!$S$5,0)</f>
        <v>0</v>
      </c>
      <c r="P19" s="46" t="n">
        <f aca="false">IF(Workflows!$V$5="Yes",P13*Workflows!$R$5*Assumptions!$B$31/60*Workflows!$S$5,0)</f>
        <v>0</v>
      </c>
      <c r="Q19" s="46" t="n">
        <f aca="false">IF(Workflows!$V$5="Yes",Q13*Workflows!$R$5*Assumptions!$B$31/60*Workflows!$S$5,0)</f>
        <v>0</v>
      </c>
      <c r="R19" s="46" t="n">
        <f aca="false">IF(Workflows!$V$5="Yes",R13*Workflows!$R$5*Assumptions!$B$31/60*Workflows!$S$5,0)</f>
        <v>0</v>
      </c>
      <c r="S19" s="46" t="n">
        <f aca="false">IF(Workflows!$V$5="Yes",S13*Workflows!$R$5*Assumptions!$B$31/60*Workflows!$S$5,0)</f>
        <v>0</v>
      </c>
      <c r="T19" s="46" t="n">
        <f aca="false">IF(Workflows!$V$5="Yes",T13*Workflows!$R$5*Assumptions!$B$31/60*Workflows!$S$5,0)</f>
        <v>0</v>
      </c>
      <c r="U19" s="46" t="n">
        <f aca="false">IF(Workflows!$V$5="Yes",U13*Workflows!$R$5*Assumptions!$B$31/60*Workflows!$S$5,0)</f>
        <v>0</v>
      </c>
      <c r="V19" s="46" t="n">
        <f aca="false">IF(Workflows!$V$5="Yes",V13*Workflows!$R$5*Assumptions!$B$31/60*Workflows!$S$5,0)</f>
        <v>0</v>
      </c>
      <c r="W19" s="46" t="n">
        <f aca="false">IF(Workflows!$V$5="Yes",W13*Workflows!$R$5*Assumptions!$B$31/60*Workflows!$S$5,0)</f>
        <v>0</v>
      </c>
      <c r="X19" s="46" t="n">
        <f aca="false">IF(Workflows!$V$5="Yes",X13*Workflows!$R$5*Assumptions!$B$31/60*Workflows!$S$5,0)</f>
        <v>0</v>
      </c>
      <c r="Y19" s="46" t="n">
        <f aca="false">IF(Workflows!$V$5="Yes",Y13*Workflows!$R$5*Assumptions!$B$31/60*Workflows!$S$5,0)</f>
        <v>0</v>
      </c>
      <c r="Z19" s="46" t="n">
        <f aca="false">IF(Workflows!$V$5="Yes",Z13*Workflows!$R$5*Assumptions!$B$31/60*Workflows!$S$5,0)</f>
        <v>0</v>
      </c>
    </row>
    <row r="20" customFormat="false" ht="15" hidden="false" customHeight="false" outlineLevel="0" collapsed="false">
      <c r="B20" s="34" t="s">
        <v>227</v>
      </c>
      <c r="C20" s="24" t="n">
        <f aca="false">C12-C13</f>
        <v>0</v>
      </c>
      <c r="D20" s="24" t="n">
        <f aca="false">D12-D13</f>
        <v>0</v>
      </c>
      <c r="E20" s="24" t="n">
        <f aca="false">E12-E13</f>
        <v>0</v>
      </c>
      <c r="F20" s="24" t="n">
        <f aca="false">F12-F13</f>
        <v>0</v>
      </c>
      <c r="G20" s="24" t="n">
        <f aca="false">G12-G13</f>
        <v>0</v>
      </c>
      <c r="H20" s="24" t="n">
        <f aca="false">H12-H13</f>
        <v>0</v>
      </c>
      <c r="I20" s="24" t="n">
        <f aca="false">I12-I13</f>
        <v>0</v>
      </c>
      <c r="J20" s="24" t="n">
        <f aca="false">J12-J13</f>
        <v>0</v>
      </c>
      <c r="K20" s="24" t="n">
        <f aca="false">K12-K13</f>
        <v>0</v>
      </c>
      <c r="L20" s="24" t="n">
        <f aca="false">L12-L13</f>
        <v>0</v>
      </c>
      <c r="M20" s="24" t="n">
        <f aca="false">M12-M13</f>
        <v>0</v>
      </c>
      <c r="N20" s="24" t="n">
        <f aca="false">N12-N13</f>
        <v>0</v>
      </c>
      <c r="O20" s="24" t="n">
        <f aca="false">O12-O13</f>
        <v>0</v>
      </c>
      <c r="P20" s="24" t="n">
        <f aca="false">P12-P13</f>
        <v>0</v>
      </c>
      <c r="Q20" s="24" t="n">
        <f aca="false">Q12-Q13</f>
        <v>0</v>
      </c>
      <c r="R20" s="24" t="n">
        <f aca="false">R12-R13</f>
        <v>0</v>
      </c>
      <c r="S20" s="24" t="n">
        <f aca="false">S12-S13</f>
        <v>0</v>
      </c>
      <c r="T20" s="24" t="n">
        <f aca="false">T12-T13</f>
        <v>0</v>
      </c>
      <c r="U20" s="24" t="n">
        <f aca="false">U12-U13</f>
        <v>0</v>
      </c>
      <c r="V20" s="24" t="n">
        <f aca="false">V12-V13</f>
        <v>0</v>
      </c>
      <c r="W20" s="24" t="n">
        <f aca="false">W12-W13</f>
        <v>0</v>
      </c>
      <c r="X20" s="24" t="n">
        <f aca="false">X12-X13</f>
        <v>0</v>
      </c>
      <c r="Y20" s="24" t="n">
        <f aca="false">Y12-Y13</f>
        <v>0</v>
      </c>
      <c r="Z20" s="24" t="n">
        <f aca="false">Z12-Z13</f>
        <v>0</v>
      </c>
    </row>
    <row r="21" customFormat="false" ht="15" hidden="false" customHeight="false" outlineLevel="0" collapsed="false">
      <c r="B21" s="34" t="s">
        <v>228</v>
      </c>
      <c r="C21" s="46" t="n">
        <f aca="false">C20*C9</f>
        <v>0</v>
      </c>
      <c r="D21" s="46" t="n">
        <f aca="false">D20*D9</f>
        <v>0</v>
      </c>
      <c r="E21" s="46" t="n">
        <f aca="false">E20*E9</f>
        <v>0</v>
      </c>
      <c r="F21" s="46" t="n">
        <f aca="false">F20*F9</f>
        <v>0</v>
      </c>
      <c r="G21" s="46" t="n">
        <f aca="false">G20*G9</f>
        <v>0</v>
      </c>
      <c r="H21" s="46" t="n">
        <f aca="false">H20*H9</f>
        <v>0</v>
      </c>
      <c r="I21" s="46" t="n">
        <f aca="false">I20*I9</f>
        <v>0</v>
      </c>
      <c r="J21" s="46" t="n">
        <f aca="false">J20*J9</f>
        <v>0</v>
      </c>
      <c r="K21" s="46" t="n">
        <f aca="false">K20*K9</f>
        <v>0</v>
      </c>
      <c r="L21" s="46" t="n">
        <f aca="false">L20*L9</f>
        <v>0</v>
      </c>
      <c r="M21" s="46" t="n">
        <f aca="false">M20*M9</f>
        <v>0</v>
      </c>
      <c r="N21" s="46" t="n">
        <f aca="false">N20*N9</f>
        <v>0</v>
      </c>
      <c r="O21" s="46" t="n">
        <f aca="false">O20*O9</f>
        <v>0</v>
      </c>
      <c r="P21" s="46" t="n">
        <f aca="false">P20*P9</f>
        <v>0</v>
      </c>
      <c r="Q21" s="46" t="n">
        <f aca="false">Q20*Q9</f>
        <v>0</v>
      </c>
      <c r="R21" s="46" t="n">
        <f aca="false">R20*R9</f>
        <v>0</v>
      </c>
      <c r="S21" s="46" t="n">
        <f aca="false">S20*S9</f>
        <v>0</v>
      </c>
      <c r="T21" s="46" t="n">
        <f aca="false">T20*T9</f>
        <v>0</v>
      </c>
      <c r="U21" s="46" t="n">
        <f aca="false">U20*U9</f>
        <v>0</v>
      </c>
      <c r="V21" s="46" t="n">
        <f aca="false">V20*V9</f>
        <v>0</v>
      </c>
      <c r="W21" s="46" t="n">
        <f aca="false">W20*W9</f>
        <v>0</v>
      </c>
      <c r="X21" s="46" t="n">
        <f aca="false">X20*X9</f>
        <v>0</v>
      </c>
      <c r="Y21" s="46" t="n">
        <f aca="false">Y20*Y9</f>
        <v>0</v>
      </c>
      <c r="Z21" s="46" t="n">
        <f aca="false">Z20*Z9</f>
        <v>0</v>
      </c>
    </row>
    <row r="22" customFormat="false" ht="15" hidden="false" customHeight="false" outlineLevel="0" collapsed="false">
      <c r="B22" s="34" t="inlineStr">
        <is>
          <t>Planned benefit lost to cap ($)</t>
        </is>
      </c>
      <c r="C22" s="46" t="n">
        <f aca="false">IF(C13=0,0,C20/C13*C18)</f>
        <v>0</v>
      </c>
      <c r="D22" s="46" t="n">
        <f aca="false">IF(D13=0,0,D20/D13*D18)</f>
        <v>0</v>
      </c>
      <c r="E22" s="46" t="n">
        <f aca="false">IF(E13=0,0,E20/E13*E18)</f>
        <v>0</v>
      </c>
      <c r="F22" s="46" t="n">
        <f aca="false">IF(F13=0,0,F20/F13*F18)</f>
        <v>0</v>
      </c>
      <c r="G22" s="46" t="n">
        <f aca="false">IF(G13=0,0,G20/G13*G18)</f>
        <v>0</v>
      </c>
      <c r="H22" s="46" t="n">
        <f aca="false">IF(H13=0,0,H20/H13*H18)</f>
        <v>0</v>
      </c>
      <c r="I22" s="46" t="n">
        <f aca="false">IF(I13=0,0,I20/I13*I18)</f>
        <v>0</v>
      </c>
      <c r="J22" s="46" t="n">
        <f aca="false">IF(J13=0,0,J20/J13*J18)</f>
        <v>0</v>
      </c>
      <c r="K22" s="46" t="n">
        <f aca="false">IF(K13=0,0,K20/K13*K18)</f>
        <v>0</v>
      </c>
      <c r="L22" s="46" t="n">
        <f aca="false">IF(L13=0,0,L20/L13*L18)</f>
        <v>0</v>
      </c>
      <c r="M22" s="46" t="n">
        <f aca="false">IF(M13=0,0,M20/M13*M18)</f>
        <v>0</v>
      </c>
      <c r="N22" s="46" t="n">
        <f aca="false">IF(N13=0,0,N20/N13*N18)</f>
        <v>0</v>
      </c>
      <c r="O22" s="46" t="n">
        <f aca="false">IF(O13=0,0,O20/O13*O18)</f>
        <v>0</v>
      </c>
      <c r="P22" s="46" t="n">
        <f aca="false">IF(P13=0,0,P20/P13*P18)</f>
        <v>0</v>
      </c>
      <c r="Q22" s="46" t="n">
        <f aca="false">IF(Q13=0,0,Q20/Q13*Q18)</f>
        <v>0</v>
      </c>
      <c r="R22" s="46" t="n">
        <f aca="false">IF(R13=0,0,R20/R13*R18)</f>
        <v>0</v>
      </c>
      <c r="S22" s="46" t="n">
        <f aca="false">IF(S13=0,0,S20/S13*S18)</f>
        <v>0</v>
      </c>
      <c r="T22" s="46" t="n">
        <f aca="false">IF(T13=0,0,T20/T13*T18)</f>
        <v>0</v>
      </c>
      <c r="U22" s="46" t="n">
        <f aca="false">IF(U13=0,0,U20/U13*U18)</f>
        <v>0</v>
      </c>
      <c r="V22" s="46" t="n">
        <f aca="false">IF(V13=0,0,V20/V13*V18)</f>
        <v>0</v>
      </c>
      <c r="W22" s="46" t="n">
        <f aca="false">IF(W13=0,0,W20/W13*W18)</f>
        <v>0</v>
      </c>
      <c r="X22" s="46" t="n">
        <f aca="false">IF(X13=0,0,X20/X13*X18)</f>
        <v>0</v>
      </c>
      <c r="Y22" s="46" t="n">
        <f aca="false">IF(Y13=0,0,Y20/Y13*Y18)</f>
        <v>0</v>
      </c>
      <c r="Z22" s="46" t="n">
        <f aca="false">IF(Z13=0,0,Z20/Z13*Z18)</f>
        <v>0</v>
      </c>
    </row>
    <row r="24" customFormat="false" ht="15" hidden="false" customHeight="false" outlineLevel="0" collapsed="false">
      <c r="A24" s="50" t="str">
        <f aca="false">Workflows!A6</f>
        <v>Finance reconciliation</v>
      </c>
      <c r="B24" s="34" t="s">
        <v>219</v>
      </c>
      <c r="C24" s="24" t="n">
        <f aca="false">Workflows!$D$6*MIN(1,Workflows!$E$6*Assumptions!$B$26)*MIN(1,C$4/MAX(1,Workflows!$F$6))</f>
        <v>12</v>
      </c>
      <c r="D24" s="24" t="n">
        <f aca="false">Workflows!$D$6*MIN(1,Workflows!$E$6*Assumptions!$B$26)*MIN(1,D$4/MAX(1,Workflows!$F$6))</f>
        <v>24</v>
      </c>
      <c r="E24" s="24" t="n">
        <f aca="false">Workflows!$D$6*MIN(1,Workflows!$E$6*Assumptions!$B$26)*MIN(1,E$4/MAX(1,Workflows!$F$6))</f>
        <v>36</v>
      </c>
      <c r="F24" s="24" t="n">
        <f aca="false">Workflows!$D$6*MIN(1,Workflows!$E$6*Assumptions!$B$26)*MIN(1,F$4/MAX(1,Workflows!$F$6))</f>
        <v>48</v>
      </c>
      <c r="G24" s="24" t="n">
        <f aca="false">Workflows!$D$6*MIN(1,Workflows!$E$6*Assumptions!$B$26)*MIN(1,G$4/MAX(1,Workflows!$F$6))</f>
        <v>60</v>
      </c>
      <c r="H24" s="24" t="n">
        <f aca="false">Workflows!$D$6*MIN(1,Workflows!$E$6*Assumptions!$B$26)*MIN(1,H$4/MAX(1,Workflows!$F$6))</f>
        <v>72</v>
      </c>
      <c r="I24" s="24" t="n">
        <f aca="false">Workflows!$D$6*MIN(1,Workflows!$E$6*Assumptions!$B$26)*MIN(1,I$4/MAX(1,Workflows!$F$6))</f>
        <v>72</v>
      </c>
      <c r="J24" s="24" t="n">
        <f aca="false">Workflows!$D$6*MIN(1,Workflows!$E$6*Assumptions!$B$26)*MIN(1,J$4/MAX(1,Workflows!$F$6))</f>
        <v>72</v>
      </c>
      <c r="K24" s="24" t="n">
        <f aca="false">Workflows!$D$6*MIN(1,Workflows!$E$6*Assumptions!$B$26)*MIN(1,K$4/MAX(1,Workflows!$F$6))</f>
        <v>72</v>
      </c>
      <c r="L24" s="24" t="n">
        <f aca="false">Workflows!$D$6*MIN(1,Workflows!$E$6*Assumptions!$B$26)*MIN(1,L$4/MAX(1,Workflows!$F$6))</f>
        <v>72</v>
      </c>
      <c r="M24" s="24" t="n">
        <f aca="false">Workflows!$D$6*MIN(1,Workflows!$E$6*Assumptions!$B$26)*MIN(1,M$4/MAX(1,Workflows!$F$6))</f>
        <v>72</v>
      </c>
      <c r="N24" s="24" t="n">
        <f aca="false">Workflows!$D$6*MIN(1,Workflows!$E$6*Assumptions!$B$26)*MIN(1,N$4/MAX(1,Workflows!$F$6))</f>
        <v>72</v>
      </c>
      <c r="O24" s="24" t="n">
        <f aca="false">Workflows!$D$6*MIN(1,Workflows!$E$6*Assumptions!$B$26)*MIN(1,O$4/MAX(1,Workflows!$F$6))</f>
        <v>72</v>
      </c>
      <c r="P24" s="24" t="n">
        <f aca="false">Workflows!$D$6*MIN(1,Workflows!$E$6*Assumptions!$B$26)*MIN(1,P$4/MAX(1,Workflows!$F$6))</f>
        <v>72</v>
      </c>
      <c r="Q24" s="24" t="n">
        <f aca="false">Workflows!$D$6*MIN(1,Workflows!$E$6*Assumptions!$B$26)*MIN(1,Q$4/MAX(1,Workflows!$F$6))</f>
        <v>72</v>
      </c>
      <c r="R24" s="24" t="n">
        <f aca="false">Workflows!$D$6*MIN(1,Workflows!$E$6*Assumptions!$B$26)*MIN(1,R$4/MAX(1,Workflows!$F$6))</f>
        <v>72</v>
      </c>
      <c r="S24" s="24" t="n">
        <f aca="false">Workflows!$D$6*MIN(1,Workflows!$E$6*Assumptions!$B$26)*MIN(1,S$4/MAX(1,Workflows!$F$6))</f>
        <v>72</v>
      </c>
      <c r="T24" s="24" t="n">
        <f aca="false">Workflows!$D$6*MIN(1,Workflows!$E$6*Assumptions!$B$26)*MIN(1,T$4/MAX(1,Workflows!$F$6))</f>
        <v>72</v>
      </c>
      <c r="U24" s="24" t="n">
        <f aca="false">Workflows!$D$6*MIN(1,Workflows!$E$6*Assumptions!$B$26)*MIN(1,U$4/MAX(1,Workflows!$F$6))</f>
        <v>72</v>
      </c>
      <c r="V24" s="24" t="n">
        <f aca="false">Workflows!$D$6*MIN(1,Workflows!$E$6*Assumptions!$B$26)*MIN(1,V$4/MAX(1,Workflows!$F$6))</f>
        <v>72</v>
      </c>
      <c r="W24" s="24" t="n">
        <f aca="false">Workflows!$D$6*MIN(1,Workflows!$E$6*Assumptions!$B$26)*MIN(1,W$4/MAX(1,Workflows!$F$6))</f>
        <v>72</v>
      </c>
      <c r="X24" s="24" t="n">
        <f aca="false">Workflows!$D$6*MIN(1,Workflows!$E$6*Assumptions!$B$26)*MIN(1,X$4/MAX(1,Workflows!$F$6))</f>
        <v>72</v>
      </c>
      <c r="Y24" s="24" t="n">
        <f aca="false">Workflows!$D$6*MIN(1,Workflows!$E$6*Assumptions!$B$26)*MIN(1,Y$4/MAX(1,Workflows!$F$6))</f>
        <v>72</v>
      </c>
      <c r="Z24" s="24" t="n">
        <f aca="false">Workflows!$D$6*MIN(1,Workflows!$E$6*Assumptions!$B$26)*MIN(1,Z$4/MAX(1,Workflows!$F$6))</f>
        <v>72</v>
      </c>
    </row>
    <row r="25" customFormat="false" ht="15" hidden="false" customHeight="false" outlineLevel="0" collapsed="false">
      <c r="A25" s="51" t="str">
        <f aca="false">Workflows!B6</f>
        <v>Finance analyst</v>
      </c>
      <c r="B25" s="34" t="s">
        <v>220</v>
      </c>
      <c r="C25" s="24" t="n">
        <f aca="false">Workflows!$G$6*Assumptions!$B$5*Assumptions!$B$27</f>
        <v>105</v>
      </c>
      <c r="D25" s="24" t="n">
        <f aca="false">Workflows!$G$6*Assumptions!$B$5*Assumptions!$B$27</f>
        <v>105</v>
      </c>
      <c r="E25" s="24" t="n">
        <f aca="false">Workflows!$G$6*Assumptions!$B$5*Assumptions!$B$27</f>
        <v>105</v>
      </c>
      <c r="F25" s="24" t="n">
        <f aca="false">Workflows!$G$6*Assumptions!$B$5*Assumptions!$B$27</f>
        <v>105</v>
      </c>
      <c r="G25" s="24" t="n">
        <f aca="false">Workflows!$G$6*Assumptions!$B$5*Assumptions!$B$27</f>
        <v>105</v>
      </c>
      <c r="H25" s="24" t="n">
        <f aca="false">Workflows!$G$6*Assumptions!$B$5*Assumptions!$B$27</f>
        <v>105</v>
      </c>
      <c r="I25" s="24" t="n">
        <f aca="false">Workflows!$G$6*Assumptions!$B$5*Assumptions!$B$27</f>
        <v>105</v>
      </c>
      <c r="J25" s="24" t="n">
        <f aca="false">Workflows!$G$6*Assumptions!$B$5*Assumptions!$B$27</f>
        <v>105</v>
      </c>
      <c r="K25" s="24" t="n">
        <f aca="false">Workflows!$G$6*Assumptions!$B$5*Assumptions!$B$27</f>
        <v>105</v>
      </c>
      <c r="L25" s="24" t="n">
        <f aca="false">Workflows!$G$6*Assumptions!$B$5*Assumptions!$B$27</f>
        <v>105</v>
      </c>
      <c r="M25" s="24" t="n">
        <f aca="false">Workflows!$G$6*Assumptions!$B$5*Assumptions!$B$27</f>
        <v>105</v>
      </c>
      <c r="N25" s="24" t="n">
        <f aca="false">Workflows!$G$6*Assumptions!$B$5*Assumptions!$B$27</f>
        <v>105</v>
      </c>
      <c r="O25" s="24" t="n">
        <f aca="false">Workflows!$G$6*Assumptions!$B$5*Assumptions!$B$27</f>
        <v>105</v>
      </c>
      <c r="P25" s="24" t="n">
        <f aca="false">Workflows!$G$6*Assumptions!$B$5*Assumptions!$B$27</f>
        <v>105</v>
      </c>
      <c r="Q25" s="24" t="n">
        <f aca="false">Workflows!$G$6*Assumptions!$B$5*Assumptions!$B$27</f>
        <v>105</v>
      </c>
      <c r="R25" s="24" t="n">
        <f aca="false">Workflows!$G$6*Assumptions!$B$5*Assumptions!$B$27</f>
        <v>105</v>
      </c>
      <c r="S25" s="24" t="n">
        <f aca="false">Workflows!$G$6*Assumptions!$B$5*Assumptions!$B$27</f>
        <v>105</v>
      </c>
      <c r="T25" s="24" t="n">
        <f aca="false">Workflows!$G$6*Assumptions!$B$5*Assumptions!$B$27</f>
        <v>105</v>
      </c>
      <c r="U25" s="24" t="n">
        <f aca="false">Workflows!$G$6*Assumptions!$B$5*Assumptions!$B$27</f>
        <v>105</v>
      </c>
      <c r="V25" s="24" t="n">
        <f aca="false">Workflows!$G$6*Assumptions!$B$5*Assumptions!$B$27</f>
        <v>105</v>
      </c>
      <c r="W25" s="24" t="n">
        <f aca="false">Workflows!$G$6*Assumptions!$B$5*Assumptions!$B$27</f>
        <v>105</v>
      </c>
      <c r="X25" s="24" t="n">
        <f aca="false">Workflows!$G$6*Assumptions!$B$5*Assumptions!$B$27</f>
        <v>105</v>
      </c>
      <c r="Y25" s="24" t="n">
        <f aca="false">Workflows!$G$6*Assumptions!$B$5*Assumptions!$B$27</f>
        <v>105</v>
      </c>
      <c r="Z25" s="24" t="n">
        <f aca="false">Workflows!$G$6*Assumptions!$B$5*Assumptions!$B$27</f>
        <v>105</v>
      </c>
    </row>
    <row r="26" customFormat="false" ht="15" hidden="false" customHeight="false" outlineLevel="0" collapsed="false">
      <c r="B26" s="34" t="s">
        <v>170</v>
      </c>
      <c r="C26" s="45" t="n">
        <f aca="false">Workflows!$Z$6*Assumptions!$B$28*C$5</f>
        <v>0.26796</v>
      </c>
      <c r="D26" s="45" t="n">
        <f aca="false">Workflows!$Z$6*Assumptions!$B$28*D$5</f>
        <v>0.263023246944971</v>
      </c>
      <c r="E26" s="45" t="n">
        <f aca="false">Workflows!$Z$6*Assumptions!$B$28*E$5</f>
        <v>0.258177446012371</v>
      </c>
      <c r="F26" s="45" t="n">
        <f aca="false">Workflows!$Z$6*Assumptions!$B$28*F$5</f>
        <v>0.253420921548491</v>
      </c>
      <c r="G26" s="45" t="n">
        <f aca="false">Workflows!$Z$6*Assumptions!$B$28*G$5</f>
        <v>0.248752028770976</v>
      </c>
      <c r="H26" s="45" t="n">
        <f aca="false">Workflows!$Z$6*Assumptions!$B$28*H$5</f>
        <v>0.24416915320007</v>
      </c>
      <c r="I26" s="45" t="n">
        <f aca="false">Workflows!$Z$6*Assumptions!$B$28*I$5</f>
        <v>0.239670710100337</v>
      </c>
      <c r="J26" s="45" t="n">
        <f aca="false">Workflows!$Z$6*Assumptions!$B$28*J$5</f>
        <v>0.235255143932667</v>
      </c>
      <c r="K26" s="45" t="n">
        <f aca="false">Workflows!$Z$6*Assumptions!$B$28*K$5</f>
        <v>0.230920927816377</v>
      </c>
      <c r="L26" s="45" t="n">
        <f aca="false">Workflows!$Z$6*Assumptions!$B$28*L$5</f>
        <v>0.226666563001227</v>
      </c>
      <c r="M26" s="45" t="n">
        <f aca="false">Workflows!$Z$6*Assumptions!$B$28*M$5</f>
        <v>0.222490578349154</v>
      </c>
      <c r="N26" s="45" t="n">
        <f aca="false">Workflows!$Z$6*Assumptions!$B$28*N$5</f>
        <v>0.218391529825567</v>
      </c>
      <c r="O26" s="45" t="n">
        <f aca="false">Workflows!$Z$6*Assumptions!$B$28*O$5</f>
        <v>0.214368</v>
      </c>
      <c r="P26" s="45" t="n">
        <f aca="false">Workflows!$Z$6*Assumptions!$B$28*P$5</f>
        <v>0.210418597555976</v>
      </c>
      <c r="Q26" s="45" t="n">
        <f aca="false">Workflows!$Z$6*Assumptions!$B$28*Q$5</f>
        <v>0.206541956809897</v>
      </c>
      <c r="R26" s="45" t="n">
        <f aca="false">Workflows!$Z$6*Assumptions!$B$28*R$5</f>
        <v>0.202736737238793</v>
      </c>
      <c r="S26" s="45" t="n">
        <f aca="false">Workflows!$Z$6*Assumptions!$B$28*S$5</f>
        <v>0.199001623016781</v>
      </c>
      <c r="T26" s="45" t="n">
        <f aca="false">Workflows!$Z$6*Assumptions!$B$28*T$5</f>
        <v>0.195335322560056</v>
      </c>
      <c r="U26" s="45" t="n">
        <f aca="false">Workflows!$Z$6*Assumptions!$B$28*U$5</f>
        <v>0.19173656808027</v>
      </c>
      <c r="V26" s="45" t="n">
        <f aca="false">Workflows!$Z$6*Assumptions!$B$28*V$5</f>
        <v>0.188204115146134</v>
      </c>
      <c r="W26" s="45" t="n">
        <f aca="false">Workflows!$Z$6*Assumptions!$B$28*W$5</f>
        <v>0.184736742253102</v>
      </c>
      <c r="X26" s="45" t="n">
        <f aca="false">Workflows!$Z$6*Assumptions!$B$28*X$5</f>
        <v>0.181333250400981</v>
      </c>
      <c r="Y26" s="45" t="n">
        <f aca="false">Workflows!$Z$6*Assumptions!$B$28*Y$5</f>
        <v>0.177992462679323</v>
      </c>
      <c r="Z26" s="45" t="n">
        <f aca="false">Workflows!$Z$6*Assumptions!$B$28*Z$5</f>
        <v>0.174713223860454</v>
      </c>
    </row>
    <row r="27" customFormat="false" ht="15" hidden="false" customHeight="false" outlineLevel="0" collapsed="false">
      <c r="B27" s="34" t="s">
        <v>221</v>
      </c>
      <c r="C27" s="46" t="n">
        <f aca="false">MIN(C25*C26,Workflows!$O$6)</f>
        <v>28.1358</v>
      </c>
      <c r="D27" s="46" t="n">
        <f aca="false">MIN(D25*D26,Workflows!$O$6)</f>
        <v>27.6174409292219</v>
      </c>
      <c r="E27" s="46" t="n">
        <f aca="false">MIN(E25*E26,Workflows!$O$6)</f>
        <v>27.108631831299</v>
      </c>
      <c r="F27" s="46" t="n">
        <f aca="false">MIN(F25*F26,Workflows!$O$6)</f>
        <v>26.6091967625916</v>
      </c>
      <c r="G27" s="46" t="n">
        <f aca="false">MIN(G25*G26,Workflows!$O$6)</f>
        <v>26.1189630209525</v>
      </c>
      <c r="H27" s="46" t="n">
        <f aca="false">MIN(H25*H26,Workflows!$O$6)</f>
        <v>25.6377610860074</v>
      </c>
      <c r="I27" s="46" t="n">
        <f aca="false">MIN(I25*I26,Workflows!$O$6)</f>
        <v>25.1654245605354</v>
      </c>
      <c r="J27" s="46" t="n">
        <f aca="false">MIN(J25*J26,Workflows!$O$6)</f>
        <v>24.7017901129301</v>
      </c>
      <c r="K27" s="46" t="n">
        <f aca="false">MIN(K25*K26,Workflows!$O$6)</f>
        <v>24.2466974207196</v>
      </c>
      <c r="L27" s="46" t="n">
        <f aca="false">MIN(L25*L26,Workflows!$O$6)</f>
        <v>23.7999891151288</v>
      </c>
      <c r="M27" s="46" t="n">
        <f aca="false">MIN(M25*M26,Workflows!$O$6)</f>
        <v>23.3615107266612</v>
      </c>
      <c r="N27" s="46" t="n">
        <f aca="false">MIN(N25*N26,Workflows!$O$6)</f>
        <v>22.9311106316845</v>
      </c>
      <c r="O27" s="46" t="n">
        <f aca="false">MIN(O25*O26,Workflows!$O$6)</f>
        <v>22.50864</v>
      </c>
      <c r="P27" s="46" t="n">
        <f aca="false">MIN(P25*P26,Workflows!$O$6)</f>
        <v>22.0939527433775</v>
      </c>
      <c r="Q27" s="46" t="n">
        <f aca="false">MIN(Q25*Q26,Workflows!$O$6)</f>
        <v>21.6869054650392</v>
      </c>
      <c r="R27" s="46" t="n">
        <f aca="false">MIN(R25*R26,Workflows!$O$6)</f>
        <v>21.2873574100732</v>
      </c>
      <c r="S27" s="46" t="n">
        <f aca="false">MIN(S25*S26,Workflows!$O$6)</f>
        <v>20.895170416762</v>
      </c>
      <c r="T27" s="46" t="n">
        <f aca="false">MIN(T25*T26,Workflows!$O$6)</f>
        <v>20.5102088688059</v>
      </c>
      <c r="U27" s="46" t="n">
        <f aca="false">MIN(U25*U26,Workflows!$O$6)</f>
        <v>20.1323396484284</v>
      </c>
      <c r="V27" s="46" t="n">
        <f aca="false">MIN(V25*V26,Workflows!$O$6)</f>
        <v>19.761432090344</v>
      </c>
      <c r="W27" s="46" t="n">
        <f aca="false">MIN(W25*W26,Workflows!$O$6)</f>
        <v>19.3973579365757</v>
      </c>
      <c r="X27" s="46" t="n">
        <f aca="false">MIN(X25*X26,Workflows!$O$6)</f>
        <v>19.0399912921031</v>
      </c>
      <c r="Y27" s="46" t="n">
        <f aca="false">MIN(Y25*Y26,Workflows!$O$6)</f>
        <v>18.689208581329</v>
      </c>
      <c r="Z27" s="46" t="n">
        <f aca="false">MIN(Z25*Z26,Workflows!$O$6)</f>
        <v>18.3448885053476</v>
      </c>
    </row>
    <row r="28" customFormat="false" ht="15" hidden="false" customHeight="false" outlineLevel="0" collapsed="false">
      <c r="B28" s="34" t="s">
        <v>222</v>
      </c>
      <c r="C28" s="36" t="n">
        <f aca="false">IF(C25*C26=0,1,MIN(1,Workflows!$O$6/(C25*C26)))</f>
        <v>1</v>
      </c>
      <c r="D28" s="36" t="n">
        <f aca="false">IF(D25*D26=0,1,MIN(1,Workflows!$O$6/(D25*D26)))</f>
        <v>1</v>
      </c>
      <c r="E28" s="36" t="n">
        <f aca="false">IF(E25*E26=0,1,MIN(1,Workflows!$O$6/(E25*E26)))</f>
        <v>1</v>
      </c>
      <c r="F28" s="36" t="n">
        <f aca="false">IF(F25*F26=0,1,MIN(1,Workflows!$O$6/(F25*F26)))</f>
        <v>1</v>
      </c>
      <c r="G28" s="36" t="n">
        <f aca="false">IF(G25*G26=0,1,MIN(1,Workflows!$O$6/(G25*G26)))</f>
        <v>1</v>
      </c>
      <c r="H28" s="36" t="n">
        <f aca="false">IF(H25*H26=0,1,MIN(1,Workflows!$O$6/(H25*H26)))</f>
        <v>1</v>
      </c>
      <c r="I28" s="36" t="n">
        <f aca="false">IF(I25*I26=0,1,MIN(1,Workflows!$O$6/(I25*I26)))</f>
        <v>1</v>
      </c>
      <c r="J28" s="36" t="n">
        <f aca="false">IF(J25*J26=0,1,MIN(1,Workflows!$O$6/(J25*J26)))</f>
        <v>1</v>
      </c>
      <c r="K28" s="36" t="n">
        <f aca="false">IF(K25*K26=0,1,MIN(1,Workflows!$O$6/(K25*K26)))</f>
        <v>1</v>
      </c>
      <c r="L28" s="36" t="n">
        <f aca="false">IF(L25*L26=0,1,MIN(1,Workflows!$O$6/(L25*L26)))</f>
        <v>1</v>
      </c>
      <c r="M28" s="36" t="n">
        <f aca="false">IF(M25*M26=0,1,MIN(1,Workflows!$O$6/(M25*M26)))</f>
        <v>1</v>
      </c>
      <c r="N28" s="36" t="n">
        <f aca="false">IF(N25*N26=0,1,MIN(1,Workflows!$O$6/(N25*N26)))</f>
        <v>1</v>
      </c>
      <c r="O28" s="36" t="n">
        <f aca="false">IF(O25*O26=0,1,MIN(1,Workflows!$O$6/(O25*O26)))</f>
        <v>1</v>
      </c>
      <c r="P28" s="36" t="n">
        <f aca="false">IF(P25*P26=0,1,MIN(1,Workflows!$O$6/(P25*P26)))</f>
        <v>1</v>
      </c>
      <c r="Q28" s="36" t="n">
        <f aca="false">IF(Q25*Q26=0,1,MIN(1,Workflows!$O$6/(Q25*Q26)))</f>
        <v>1</v>
      </c>
      <c r="R28" s="36" t="n">
        <f aca="false">IF(R25*R26=0,1,MIN(1,Workflows!$O$6/(R25*R26)))</f>
        <v>1</v>
      </c>
      <c r="S28" s="36" t="n">
        <f aca="false">IF(S25*S26=0,1,MIN(1,Workflows!$O$6/(S25*S26)))</f>
        <v>1</v>
      </c>
      <c r="T28" s="36" t="n">
        <f aca="false">IF(T25*T26=0,1,MIN(1,Workflows!$O$6/(T25*T26)))</f>
        <v>1</v>
      </c>
      <c r="U28" s="36" t="n">
        <f aca="false">IF(U25*U26=0,1,MIN(1,Workflows!$O$6/(U25*U26)))</f>
        <v>1</v>
      </c>
      <c r="V28" s="36" t="n">
        <f aca="false">IF(V25*V26=0,1,MIN(1,Workflows!$O$6/(V25*V26)))</f>
        <v>1</v>
      </c>
      <c r="W28" s="36" t="n">
        <f aca="false">IF(W25*W26=0,1,MIN(1,Workflows!$O$6/(W25*W26)))</f>
        <v>1</v>
      </c>
      <c r="X28" s="36" t="n">
        <f aca="false">IF(X25*X26=0,1,MIN(1,Workflows!$O$6/(X25*X26)))</f>
        <v>1</v>
      </c>
      <c r="Y28" s="36" t="n">
        <f aca="false">IF(Y25*Y26=0,1,MIN(1,Workflows!$O$6/(Y25*Y26)))</f>
        <v>1</v>
      </c>
      <c r="Z28" s="36" t="n">
        <f aca="false">IF(Z25*Z26=0,1,MIN(1,Workflows!$O$6/(Z25*Z26)))</f>
        <v>1</v>
      </c>
    </row>
    <row r="29" customFormat="false" ht="15" hidden="false" customHeight="false" outlineLevel="0" collapsed="false">
      <c r="B29" s="34" t="s">
        <v>223</v>
      </c>
      <c r="C29" s="24" t="n">
        <f aca="false">C24*C25</f>
        <v>1260</v>
      </c>
      <c r="D29" s="24" t="n">
        <f aca="false">D24*D25</f>
        <v>2520</v>
      </c>
      <c r="E29" s="24" t="n">
        <f aca="false">E24*E25</f>
        <v>3780</v>
      </c>
      <c r="F29" s="24" t="n">
        <f aca="false">F24*F25</f>
        <v>5040</v>
      </c>
      <c r="G29" s="24" t="n">
        <f aca="false">G24*G25</f>
        <v>6300</v>
      </c>
      <c r="H29" s="24" t="n">
        <f aca="false">H24*H25</f>
        <v>7560</v>
      </c>
      <c r="I29" s="24" t="n">
        <f aca="false">I24*I25</f>
        <v>7560</v>
      </c>
      <c r="J29" s="24" t="n">
        <f aca="false">J24*J25</f>
        <v>7560</v>
      </c>
      <c r="K29" s="24" t="n">
        <f aca="false">K24*K25</f>
        <v>7560</v>
      </c>
      <c r="L29" s="24" t="n">
        <f aca="false">L24*L25</f>
        <v>7560</v>
      </c>
      <c r="M29" s="24" t="n">
        <f aca="false">M24*M25</f>
        <v>7560</v>
      </c>
      <c r="N29" s="24" t="n">
        <f aca="false">N24*N25</f>
        <v>7560</v>
      </c>
      <c r="O29" s="24" t="n">
        <f aca="false">O24*O25</f>
        <v>7560</v>
      </c>
      <c r="P29" s="24" t="n">
        <f aca="false">P24*P25</f>
        <v>7560</v>
      </c>
      <c r="Q29" s="24" t="n">
        <f aca="false">Q24*Q25</f>
        <v>7560</v>
      </c>
      <c r="R29" s="24" t="n">
        <f aca="false">R24*R25</f>
        <v>7560</v>
      </c>
      <c r="S29" s="24" t="n">
        <f aca="false">S24*S25</f>
        <v>7560</v>
      </c>
      <c r="T29" s="24" t="n">
        <f aca="false">T24*T25</f>
        <v>7560</v>
      </c>
      <c r="U29" s="24" t="n">
        <f aca="false">U24*U25</f>
        <v>7560</v>
      </c>
      <c r="V29" s="24" t="n">
        <f aca="false">V24*V25</f>
        <v>7560</v>
      </c>
      <c r="W29" s="24" t="n">
        <f aca="false">W24*W25</f>
        <v>7560</v>
      </c>
      <c r="X29" s="24" t="n">
        <f aca="false">X24*X25</f>
        <v>7560</v>
      </c>
      <c r="Y29" s="24" t="n">
        <f aca="false">Y24*Y25</f>
        <v>7560</v>
      </c>
      <c r="Z29" s="24" t="n">
        <f aca="false">Z24*Z25</f>
        <v>7560</v>
      </c>
    </row>
    <row r="30" customFormat="false" ht="15" hidden="false" customHeight="false" outlineLevel="0" collapsed="false">
      <c r="B30" s="34" t="s">
        <v>88</v>
      </c>
      <c r="C30" s="24" t="n">
        <f aca="false">C29*C28</f>
        <v>1260</v>
      </c>
      <c r="D30" s="24" t="n">
        <f aca="false">D29*D28</f>
        <v>2520</v>
      </c>
      <c r="E30" s="24" t="n">
        <f aca="false">E29*E28</f>
        <v>3780</v>
      </c>
      <c r="F30" s="24" t="n">
        <f aca="false">F29*F28</f>
        <v>5040</v>
      </c>
      <c r="G30" s="24" t="n">
        <f aca="false">G29*G28</f>
        <v>6300</v>
      </c>
      <c r="H30" s="24" t="n">
        <f aca="false">H29*H28</f>
        <v>7560</v>
      </c>
      <c r="I30" s="24" t="n">
        <f aca="false">I29*I28</f>
        <v>7560</v>
      </c>
      <c r="J30" s="24" t="n">
        <f aca="false">J29*J28</f>
        <v>7560</v>
      </c>
      <c r="K30" s="24" t="n">
        <f aca="false">K29*K28</f>
        <v>7560</v>
      </c>
      <c r="L30" s="24" t="n">
        <f aca="false">L29*L28</f>
        <v>7560</v>
      </c>
      <c r="M30" s="24" t="n">
        <f aca="false">M29*M28</f>
        <v>7560</v>
      </c>
      <c r="N30" s="24" t="n">
        <f aca="false">N29*N28</f>
        <v>7560</v>
      </c>
      <c r="O30" s="24" t="n">
        <f aca="false">O29*O28</f>
        <v>7560</v>
      </c>
      <c r="P30" s="24" t="n">
        <f aca="false">P29*P28</f>
        <v>7560</v>
      </c>
      <c r="Q30" s="24" t="n">
        <f aca="false">Q29*Q28</f>
        <v>7560</v>
      </c>
      <c r="R30" s="24" t="n">
        <f aca="false">R29*R28</f>
        <v>7560</v>
      </c>
      <c r="S30" s="24" t="n">
        <f aca="false">S29*S28</f>
        <v>7560</v>
      </c>
      <c r="T30" s="24" t="n">
        <f aca="false">T29*T28</f>
        <v>7560</v>
      </c>
      <c r="U30" s="24" t="n">
        <f aca="false">U29*U28</f>
        <v>7560</v>
      </c>
      <c r="V30" s="24" t="n">
        <f aca="false">V29*V28</f>
        <v>7560</v>
      </c>
      <c r="W30" s="24" t="n">
        <f aca="false">W29*W28</f>
        <v>7560</v>
      </c>
      <c r="X30" s="24" t="n">
        <f aca="false">X29*X28</f>
        <v>7560</v>
      </c>
      <c r="Y30" s="24" t="n">
        <f aca="false">Y29*Y28</f>
        <v>7560</v>
      </c>
      <c r="Z30" s="24" t="n">
        <f aca="false">Z29*Z28</f>
        <v>7560</v>
      </c>
    </row>
    <row r="31" customFormat="false" ht="15" hidden="false" customHeight="false" outlineLevel="0" collapsed="false">
      <c r="B31" s="34" t="s">
        <v>224</v>
      </c>
      <c r="C31" s="24" t="n">
        <f aca="false">C30*MIN(1,Workflows!$P$6*Assumptions!$B$30)</f>
        <v>945</v>
      </c>
      <c r="D31" s="24" t="n">
        <f aca="false">D30*MIN(1,Workflows!$P$6*Assumptions!$B$30)</f>
        <v>1890</v>
      </c>
      <c r="E31" s="24" t="n">
        <f aca="false">E30*MIN(1,Workflows!$P$6*Assumptions!$B$30)</f>
        <v>2835</v>
      </c>
      <c r="F31" s="24" t="n">
        <f aca="false">F30*MIN(1,Workflows!$P$6*Assumptions!$B$30)</f>
        <v>3780</v>
      </c>
      <c r="G31" s="24" t="n">
        <f aca="false">G30*MIN(1,Workflows!$P$6*Assumptions!$B$30)</f>
        <v>4725</v>
      </c>
      <c r="H31" s="24" t="n">
        <f aca="false">H30*MIN(1,Workflows!$P$6*Assumptions!$B$30)</f>
        <v>5670</v>
      </c>
      <c r="I31" s="24" t="n">
        <f aca="false">I30*MIN(1,Workflows!$P$6*Assumptions!$B$30)</f>
        <v>5670</v>
      </c>
      <c r="J31" s="24" t="n">
        <f aca="false">J30*MIN(1,Workflows!$P$6*Assumptions!$B$30)</f>
        <v>5670</v>
      </c>
      <c r="K31" s="24" t="n">
        <f aca="false">K30*MIN(1,Workflows!$P$6*Assumptions!$B$30)</f>
        <v>5670</v>
      </c>
      <c r="L31" s="24" t="n">
        <f aca="false">L30*MIN(1,Workflows!$P$6*Assumptions!$B$30)</f>
        <v>5670</v>
      </c>
      <c r="M31" s="24" t="n">
        <f aca="false">M30*MIN(1,Workflows!$P$6*Assumptions!$B$30)</f>
        <v>5670</v>
      </c>
      <c r="N31" s="24" t="n">
        <f aca="false">N30*MIN(1,Workflows!$P$6*Assumptions!$B$30)</f>
        <v>5670</v>
      </c>
      <c r="O31" s="24" t="n">
        <f aca="false">O30*MIN(1,Workflows!$P$6*Assumptions!$B$30)</f>
        <v>5670</v>
      </c>
      <c r="P31" s="24" t="n">
        <f aca="false">P30*MIN(1,Workflows!$P$6*Assumptions!$B$30)</f>
        <v>5670</v>
      </c>
      <c r="Q31" s="24" t="n">
        <f aca="false">Q30*MIN(1,Workflows!$P$6*Assumptions!$B$30)</f>
        <v>5670</v>
      </c>
      <c r="R31" s="24" t="n">
        <f aca="false">R30*MIN(1,Workflows!$P$6*Assumptions!$B$30)</f>
        <v>5670</v>
      </c>
      <c r="S31" s="24" t="n">
        <f aca="false">S30*MIN(1,Workflows!$P$6*Assumptions!$B$30)</f>
        <v>5670</v>
      </c>
      <c r="T31" s="24" t="n">
        <f aca="false">T30*MIN(1,Workflows!$P$6*Assumptions!$B$30)</f>
        <v>5670</v>
      </c>
      <c r="U31" s="24" t="n">
        <f aca="false">U30*MIN(1,Workflows!$P$6*Assumptions!$B$30)</f>
        <v>5670</v>
      </c>
      <c r="V31" s="24" t="n">
        <f aca="false">V30*MIN(1,Workflows!$P$6*Assumptions!$B$30)</f>
        <v>5670</v>
      </c>
      <c r="W31" s="24" t="n">
        <f aca="false">W30*MIN(1,Workflows!$P$6*Assumptions!$B$30)</f>
        <v>5670</v>
      </c>
      <c r="X31" s="24" t="n">
        <f aca="false">X30*MIN(1,Workflows!$P$6*Assumptions!$B$30)</f>
        <v>5670</v>
      </c>
      <c r="Y31" s="24" t="n">
        <f aca="false">Y30*MIN(1,Workflows!$P$6*Assumptions!$B$30)</f>
        <v>5670</v>
      </c>
      <c r="Z31" s="24" t="n">
        <f aca="false">Z30*MIN(1,Workflows!$P$6*Assumptions!$B$30)</f>
        <v>5670</v>
      </c>
    </row>
    <row r="32" customFormat="false" ht="15" hidden="false" customHeight="false" outlineLevel="0" collapsed="false">
      <c r="B32" s="34" t="s">
        <v>225</v>
      </c>
      <c r="C32" s="46" t="n">
        <f aca="false">C24*C27</f>
        <v>337.6296</v>
      </c>
      <c r="D32" s="46" t="n">
        <f aca="false">D24*D27</f>
        <v>662.818582301326</v>
      </c>
      <c r="E32" s="46" t="n">
        <f aca="false">E24*E27</f>
        <v>975.910745926762</v>
      </c>
      <c r="F32" s="46" t="n">
        <f aca="false">F24*F27</f>
        <v>1277.24144460439</v>
      </c>
      <c r="G32" s="46" t="n">
        <f aca="false">G24*G27</f>
        <v>1567.13778125715</v>
      </c>
      <c r="H32" s="46" t="n">
        <f aca="false">H24*H27</f>
        <v>1845.91879819253</v>
      </c>
      <c r="I32" s="46" t="n">
        <f aca="false">I24*I27</f>
        <v>1811.91056835855</v>
      </c>
      <c r="J32" s="46" t="n">
        <f aca="false">J24*J27</f>
        <v>1778.52888813096</v>
      </c>
      <c r="K32" s="46" t="n">
        <f aca="false">K24*K27</f>
        <v>1745.76221429181</v>
      </c>
      <c r="L32" s="46" t="n">
        <f aca="false">L24*L27</f>
        <v>1713.59921628927</v>
      </c>
      <c r="M32" s="46" t="n">
        <f aca="false">M24*M27</f>
        <v>1682.02877231961</v>
      </c>
      <c r="N32" s="46" t="n">
        <f aca="false">N24*N27</f>
        <v>1651.03996548129</v>
      </c>
      <c r="O32" s="46" t="n">
        <f aca="false">O24*O27</f>
        <v>1620.62208</v>
      </c>
      <c r="P32" s="46" t="n">
        <f aca="false">P24*P27</f>
        <v>1590.76459752318</v>
      </c>
      <c r="Q32" s="46" t="n">
        <f aca="false">Q24*Q27</f>
        <v>1561.45719348282</v>
      </c>
      <c r="R32" s="46" t="n">
        <f aca="false">R24*R27</f>
        <v>1532.68973352527</v>
      </c>
      <c r="S32" s="46" t="n">
        <f aca="false">S24*S27</f>
        <v>1504.45227000686</v>
      </c>
      <c r="T32" s="46" t="n">
        <f aca="false">T24*T27</f>
        <v>1476.73503855403</v>
      </c>
      <c r="U32" s="46" t="n">
        <f aca="false">U24*U27</f>
        <v>1449.52845468684</v>
      </c>
      <c r="V32" s="46" t="n">
        <f aca="false">V24*V27</f>
        <v>1422.82311050477</v>
      </c>
      <c r="W32" s="46" t="n">
        <f aca="false">W24*W27</f>
        <v>1396.60977143345</v>
      </c>
      <c r="X32" s="46" t="n">
        <f aca="false">X24*X27</f>
        <v>1370.87937303142</v>
      </c>
      <c r="Y32" s="46" t="n">
        <f aca="false">Y24*Y27</f>
        <v>1345.62301785569</v>
      </c>
      <c r="Z32" s="46" t="n">
        <f aca="false">Z24*Z27</f>
        <v>1320.83197238503</v>
      </c>
    </row>
    <row r="33" customFormat="false" ht="15" hidden="false" customHeight="false" outlineLevel="0" collapsed="false">
      <c r="B33" s="34" t="s">
        <v>32</v>
      </c>
      <c r="C33" s="24" t="n">
        <f aca="false">MAX(0,C31*Workflows!$Q$6-IF(Workflows!$V$6="Yes",0,C30*Workflows!$R$6*Assumptions!$B$31))/60</f>
        <v>173.25</v>
      </c>
      <c r="D33" s="24" t="n">
        <f aca="false">MAX(0,D31*Workflows!$Q$6-IF(Workflows!$V$6="Yes",0,D30*Workflows!$R$6*Assumptions!$B$31))/60</f>
        <v>346.5</v>
      </c>
      <c r="E33" s="24" t="n">
        <f aca="false">MAX(0,E31*Workflows!$Q$6-IF(Workflows!$V$6="Yes",0,E30*Workflows!$R$6*Assumptions!$B$31))/60</f>
        <v>519.75</v>
      </c>
      <c r="F33" s="24" t="n">
        <f aca="false">MAX(0,F31*Workflows!$Q$6-IF(Workflows!$V$6="Yes",0,F30*Workflows!$R$6*Assumptions!$B$31))/60</f>
        <v>693</v>
      </c>
      <c r="G33" s="24" t="n">
        <f aca="false">MAX(0,G31*Workflows!$Q$6-IF(Workflows!$V$6="Yes",0,G30*Workflows!$R$6*Assumptions!$B$31))/60</f>
        <v>866.25</v>
      </c>
      <c r="H33" s="24" t="n">
        <f aca="false">MAX(0,H31*Workflows!$Q$6-IF(Workflows!$V$6="Yes",0,H30*Workflows!$R$6*Assumptions!$B$31))/60</f>
        <v>1039.5</v>
      </c>
      <c r="I33" s="24" t="n">
        <f aca="false">MAX(0,I31*Workflows!$Q$6-IF(Workflows!$V$6="Yes",0,I30*Workflows!$R$6*Assumptions!$B$31))/60</f>
        <v>1039.5</v>
      </c>
      <c r="J33" s="24" t="n">
        <f aca="false">MAX(0,J31*Workflows!$Q$6-IF(Workflows!$V$6="Yes",0,J30*Workflows!$R$6*Assumptions!$B$31))/60</f>
        <v>1039.5</v>
      </c>
      <c r="K33" s="24" t="n">
        <f aca="false">MAX(0,K31*Workflows!$Q$6-IF(Workflows!$V$6="Yes",0,K30*Workflows!$R$6*Assumptions!$B$31))/60</f>
        <v>1039.5</v>
      </c>
      <c r="L33" s="24" t="n">
        <f aca="false">MAX(0,L31*Workflows!$Q$6-IF(Workflows!$V$6="Yes",0,L30*Workflows!$R$6*Assumptions!$B$31))/60</f>
        <v>1039.5</v>
      </c>
      <c r="M33" s="24" t="n">
        <f aca="false">MAX(0,M31*Workflows!$Q$6-IF(Workflows!$V$6="Yes",0,M30*Workflows!$R$6*Assumptions!$B$31))/60</f>
        <v>1039.5</v>
      </c>
      <c r="N33" s="24" t="n">
        <f aca="false">MAX(0,N31*Workflows!$Q$6-IF(Workflows!$V$6="Yes",0,N30*Workflows!$R$6*Assumptions!$B$31))/60</f>
        <v>1039.5</v>
      </c>
      <c r="O33" s="24" t="n">
        <f aca="false">MAX(0,O31*Workflows!$Q$6-IF(Workflows!$V$6="Yes",0,O30*Workflows!$R$6*Assumptions!$B$31))/60</f>
        <v>1039.5</v>
      </c>
      <c r="P33" s="24" t="n">
        <f aca="false">MAX(0,P31*Workflows!$Q$6-IF(Workflows!$V$6="Yes",0,P30*Workflows!$R$6*Assumptions!$B$31))/60</f>
        <v>1039.5</v>
      </c>
      <c r="Q33" s="24" t="n">
        <f aca="false">MAX(0,Q31*Workflows!$Q$6-IF(Workflows!$V$6="Yes",0,Q30*Workflows!$R$6*Assumptions!$B$31))/60</f>
        <v>1039.5</v>
      </c>
      <c r="R33" s="24" t="n">
        <f aca="false">MAX(0,R31*Workflows!$Q$6-IF(Workflows!$V$6="Yes",0,R30*Workflows!$R$6*Assumptions!$B$31))/60</f>
        <v>1039.5</v>
      </c>
      <c r="S33" s="24" t="n">
        <f aca="false">MAX(0,S31*Workflows!$Q$6-IF(Workflows!$V$6="Yes",0,S30*Workflows!$R$6*Assumptions!$B$31))/60</f>
        <v>1039.5</v>
      </c>
      <c r="T33" s="24" t="n">
        <f aca="false">MAX(0,T31*Workflows!$Q$6-IF(Workflows!$V$6="Yes",0,T30*Workflows!$R$6*Assumptions!$B$31))/60</f>
        <v>1039.5</v>
      </c>
      <c r="U33" s="24" t="n">
        <f aca="false">MAX(0,U31*Workflows!$Q$6-IF(Workflows!$V$6="Yes",0,U30*Workflows!$R$6*Assumptions!$B$31))/60</f>
        <v>1039.5</v>
      </c>
      <c r="V33" s="24" t="n">
        <f aca="false">MAX(0,V31*Workflows!$Q$6-IF(Workflows!$V$6="Yes",0,V30*Workflows!$R$6*Assumptions!$B$31))/60</f>
        <v>1039.5</v>
      </c>
      <c r="W33" s="24" t="n">
        <f aca="false">MAX(0,W31*Workflows!$Q$6-IF(Workflows!$V$6="Yes",0,W30*Workflows!$R$6*Assumptions!$B$31))/60</f>
        <v>1039.5</v>
      </c>
      <c r="X33" s="24" t="n">
        <f aca="false">MAX(0,X31*Workflows!$Q$6-IF(Workflows!$V$6="Yes",0,X30*Workflows!$R$6*Assumptions!$B$31))/60</f>
        <v>1039.5</v>
      </c>
      <c r="Y33" s="24" t="n">
        <f aca="false">MAX(0,Y31*Workflows!$Q$6-IF(Workflows!$V$6="Yes",0,Y30*Workflows!$R$6*Assumptions!$B$31))/60</f>
        <v>1039.5</v>
      </c>
      <c r="Z33" s="24" t="n">
        <f aca="false">MAX(0,Z31*Workflows!$Q$6-IF(Workflows!$V$6="Yes",0,Z30*Workflows!$R$6*Assumptions!$B$31))/60</f>
        <v>1039.5</v>
      </c>
    </row>
    <row r="34" customFormat="false" ht="15" hidden="false" customHeight="false" outlineLevel="0" collapsed="false">
      <c r="B34" s="34" t="s">
        <v>34</v>
      </c>
      <c r="C34" s="46" t="n">
        <f aca="false">C33*Workflows!$S$6</f>
        <v>14726.25</v>
      </c>
      <c r="D34" s="46" t="n">
        <f aca="false">D33*Workflows!$S$6</f>
        <v>29452.5</v>
      </c>
      <c r="E34" s="46" t="n">
        <f aca="false">E33*Workflows!$S$6</f>
        <v>44178.75</v>
      </c>
      <c r="F34" s="46" t="n">
        <f aca="false">F33*Workflows!$S$6</f>
        <v>58905</v>
      </c>
      <c r="G34" s="46" t="n">
        <f aca="false">G33*Workflows!$S$6</f>
        <v>73631.25</v>
      </c>
      <c r="H34" s="46" t="n">
        <f aca="false">H33*Workflows!$S$6</f>
        <v>88357.5</v>
      </c>
      <c r="I34" s="46" t="n">
        <f aca="false">I33*Workflows!$S$6</f>
        <v>88357.5</v>
      </c>
      <c r="J34" s="46" t="n">
        <f aca="false">J33*Workflows!$S$6</f>
        <v>88357.5</v>
      </c>
      <c r="K34" s="46" t="n">
        <f aca="false">K33*Workflows!$S$6</f>
        <v>88357.5</v>
      </c>
      <c r="L34" s="46" t="n">
        <f aca="false">L33*Workflows!$S$6</f>
        <v>88357.5</v>
      </c>
      <c r="M34" s="46" t="n">
        <f aca="false">M33*Workflows!$S$6</f>
        <v>88357.5</v>
      </c>
      <c r="N34" s="46" t="n">
        <f aca="false">N33*Workflows!$S$6</f>
        <v>88357.5</v>
      </c>
      <c r="O34" s="46" t="n">
        <f aca="false">O33*Workflows!$S$6</f>
        <v>88357.5</v>
      </c>
      <c r="P34" s="46" t="n">
        <f aca="false">P33*Workflows!$S$6</f>
        <v>88357.5</v>
      </c>
      <c r="Q34" s="46" t="n">
        <f aca="false">Q33*Workflows!$S$6</f>
        <v>88357.5</v>
      </c>
      <c r="R34" s="46" t="n">
        <f aca="false">R33*Workflows!$S$6</f>
        <v>88357.5</v>
      </c>
      <c r="S34" s="46" t="n">
        <f aca="false">S33*Workflows!$S$6</f>
        <v>88357.5</v>
      </c>
      <c r="T34" s="46" t="n">
        <f aca="false">T33*Workflows!$S$6</f>
        <v>88357.5</v>
      </c>
      <c r="U34" s="46" t="n">
        <f aca="false">U33*Workflows!$S$6</f>
        <v>88357.5</v>
      </c>
      <c r="V34" s="46" t="n">
        <f aca="false">V33*Workflows!$S$6</f>
        <v>88357.5</v>
      </c>
      <c r="W34" s="46" t="n">
        <f aca="false">W33*Workflows!$S$6</f>
        <v>88357.5</v>
      </c>
      <c r="X34" s="46" t="n">
        <f aca="false">X33*Workflows!$S$6</f>
        <v>88357.5</v>
      </c>
      <c r="Y34" s="46" t="n">
        <f aca="false">Y33*Workflows!$S$6</f>
        <v>88357.5</v>
      </c>
      <c r="Z34" s="46" t="n">
        <f aca="false">Z33*Workflows!$S$6</f>
        <v>88357.5</v>
      </c>
    </row>
    <row r="35" customFormat="false" ht="15" hidden="false" customHeight="false" outlineLevel="0" collapsed="false">
      <c r="B35" s="34" t="inlineStr">
        <is>
          <t>Planned benefit ($)</t>
        </is>
      </c>
      <c r="C35" s="46" t="n">
        <f aca="false">IF(C$4&gt;=Workflows!$U$6+Assumptions!$B$33,C34*MIN(1,Workflows!$T$6*Assumptions!$B$32),0)</f>
        <v>0</v>
      </c>
      <c r="D35" s="46" t="n">
        <f aca="false">IF(D$4&gt;=Workflows!$U$6+Assumptions!$B$33,D34*MIN(1,Workflows!$T$6*Assumptions!$B$32),0)</f>
        <v>0</v>
      </c>
      <c r="E35" s="46" t="n">
        <f aca="false">IF(E$4&gt;=Workflows!$U$6+Assumptions!$B$33,E34*MIN(1,Workflows!$T$6*Assumptions!$B$32),0)</f>
        <v>0</v>
      </c>
      <c r="F35" s="46" t="n">
        <f aca="false">IF(F$4&gt;=Workflows!$U$6+Assumptions!$B$33,F34*MIN(1,Workflows!$T$6*Assumptions!$B$32),0)</f>
        <v>23562</v>
      </c>
      <c r="G35" s="46" t="n">
        <f aca="false">IF(G$4&gt;=Workflows!$U$6+Assumptions!$B$33,G34*MIN(1,Workflows!$T$6*Assumptions!$B$32),0)</f>
        <v>29452.5</v>
      </c>
      <c r="H35" s="46" t="n">
        <f aca="false">IF(H$4&gt;=Workflows!$U$6+Assumptions!$B$33,H34*MIN(1,Workflows!$T$6*Assumptions!$B$32),0)</f>
        <v>35343</v>
      </c>
      <c r="I35" s="46" t="n">
        <f aca="false">IF(I$4&gt;=Workflows!$U$6+Assumptions!$B$33,I34*MIN(1,Workflows!$T$6*Assumptions!$B$32),0)</f>
        <v>35343</v>
      </c>
      <c r="J35" s="46" t="n">
        <f aca="false">IF(J$4&gt;=Workflows!$U$6+Assumptions!$B$33,J34*MIN(1,Workflows!$T$6*Assumptions!$B$32),0)</f>
        <v>35343</v>
      </c>
      <c r="K35" s="46" t="n">
        <f aca="false">IF(K$4&gt;=Workflows!$U$6+Assumptions!$B$33,K34*MIN(1,Workflows!$T$6*Assumptions!$B$32),0)</f>
        <v>35343</v>
      </c>
      <c r="L35" s="46" t="n">
        <f aca="false">IF(L$4&gt;=Workflows!$U$6+Assumptions!$B$33,L34*MIN(1,Workflows!$T$6*Assumptions!$B$32),0)</f>
        <v>35343</v>
      </c>
      <c r="M35" s="46" t="n">
        <f aca="false">IF(M$4&gt;=Workflows!$U$6+Assumptions!$B$33,M34*MIN(1,Workflows!$T$6*Assumptions!$B$32),0)</f>
        <v>35343</v>
      </c>
      <c r="N35" s="46" t="n">
        <f aca="false">IF(N$4&gt;=Workflows!$U$6+Assumptions!$B$33,N34*MIN(1,Workflows!$T$6*Assumptions!$B$32),0)</f>
        <v>35343</v>
      </c>
      <c r="O35" s="46" t="n">
        <f aca="false">IF(O$4&gt;=Workflows!$U$6+Assumptions!$B$33,O34*MIN(1,Workflows!$T$6*Assumptions!$B$32),0)</f>
        <v>35343</v>
      </c>
      <c r="P35" s="46" t="n">
        <f aca="false">IF(P$4&gt;=Workflows!$U$6+Assumptions!$B$33,P34*MIN(1,Workflows!$T$6*Assumptions!$B$32),0)</f>
        <v>35343</v>
      </c>
      <c r="Q35" s="46" t="n">
        <f aca="false">IF(Q$4&gt;=Workflows!$U$6+Assumptions!$B$33,Q34*MIN(1,Workflows!$T$6*Assumptions!$B$32),0)</f>
        <v>35343</v>
      </c>
      <c r="R35" s="46" t="n">
        <f aca="false">IF(R$4&gt;=Workflows!$U$6+Assumptions!$B$33,R34*MIN(1,Workflows!$T$6*Assumptions!$B$32),0)</f>
        <v>35343</v>
      </c>
      <c r="S35" s="46" t="n">
        <f aca="false">IF(S$4&gt;=Workflows!$U$6+Assumptions!$B$33,S34*MIN(1,Workflows!$T$6*Assumptions!$B$32),0)</f>
        <v>35343</v>
      </c>
      <c r="T35" s="46" t="n">
        <f aca="false">IF(T$4&gt;=Workflows!$U$6+Assumptions!$B$33,T34*MIN(1,Workflows!$T$6*Assumptions!$B$32),0)</f>
        <v>35343</v>
      </c>
      <c r="U35" s="46" t="n">
        <f aca="false">IF(U$4&gt;=Workflows!$U$6+Assumptions!$B$33,U34*MIN(1,Workflows!$T$6*Assumptions!$B$32),0)</f>
        <v>35343</v>
      </c>
      <c r="V35" s="46" t="n">
        <f aca="false">IF(V$4&gt;=Workflows!$U$6+Assumptions!$B$33,V34*MIN(1,Workflows!$T$6*Assumptions!$B$32),0)</f>
        <v>35343</v>
      </c>
      <c r="W35" s="46" t="n">
        <f aca="false">IF(W$4&gt;=Workflows!$U$6+Assumptions!$B$33,W34*MIN(1,Workflows!$T$6*Assumptions!$B$32),0)</f>
        <v>35343</v>
      </c>
      <c r="X35" s="46" t="n">
        <f aca="false">IF(X$4&gt;=Workflows!$U$6+Assumptions!$B$33,X34*MIN(1,Workflows!$T$6*Assumptions!$B$32),0)</f>
        <v>35343</v>
      </c>
      <c r="Y35" s="46" t="n">
        <f aca="false">IF(Y$4&gt;=Workflows!$U$6+Assumptions!$B$33,Y34*MIN(1,Workflows!$T$6*Assumptions!$B$32),0)</f>
        <v>35343</v>
      </c>
      <c r="Z35" s="46" t="n">
        <f aca="false">IF(Z$4&gt;=Workflows!$U$6+Assumptions!$B$33,Z34*MIN(1,Workflows!$T$6*Assumptions!$B$32),0)</f>
        <v>35343</v>
      </c>
    </row>
    <row r="36" customFormat="false" ht="15" hidden="false" customHeight="false" outlineLevel="0" collapsed="false">
      <c r="B36" s="34" t="s">
        <v>226</v>
      </c>
      <c r="C36" s="46" t="n">
        <f aca="false">IF(Workflows!$V$6="Yes",C30*Workflows!$R$6*Assumptions!$B$31/60*Workflows!$S$6,0)</f>
        <v>0</v>
      </c>
      <c r="D36" s="46" t="n">
        <f aca="false">IF(Workflows!$V$6="Yes",D30*Workflows!$R$6*Assumptions!$B$31/60*Workflows!$S$6,0)</f>
        <v>0</v>
      </c>
      <c r="E36" s="46" t="n">
        <f aca="false">IF(Workflows!$V$6="Yes",E30*Workflows!$R$6*Assumptions!$B$31/60*Workflows!$S$6,0)</f>
        <v>0</v>
      </c>
      <c r="F36" s="46" t="n">
        <f aca="false">IF(Workflows!$V$6="Yes",F30*Workflows!$R$6*Assumptions!$B$31/60*Workflows!$S$6,0)</f>
        <v>0</v>
      </c>
      <c r="G36" s="46" t="n">
        <f aca="false">IF(Workflows!$V$6="Yes",G30*Workflows!$R$6*Assumptions!$B$31/60*Workflows!$S$6,0)</f>
        <v>0</v>
      </c>
      <c r="H36" s="46" t="n">
        <f aca="false">IF(Workflows!$V$6="Yes",H30*Workflows!$R$6*Assumptions!$B$31/60*Workflows!$S$6,0)</f>
        <v>0</v>
      </c>
      <c r="I36" s="46" t="n">
        <f aca="false">IF(Workflows!$V$6="Yes",I30*Workflows!$R$6*Assumptions!$B$31/60*Workflows!$S$6,0)</f>
        <v>0</v>
      </c>
      <c r="J36" s="46" t="n">
        <f aca="false">IF(Workflows!$V$6="Yes",J30*Workflows!$R$6*Assumptions!$B$31/60*Workflows!$S$6,0)</f>
        <v>0</v>
      </c>
      <c r="K36" s="46" t="n">
        <f aca="false">IF(Workflows!$V$6="Yes",K30*Workflows!$R$6*Assumptions!$B$31/60*Workflows!$S$6,0)</f>
        <v>0</v>
      </c>
      <c r="L36" s="46" t="n">
        <f aca="false">IF(Workflows!$V$6="Yes",L30*Workflows!$R$6*Assumptions!$B$31/60*Workflows!$S$6,0)</f>
        <v>0</v>
      </c>
      <c r="M36" s="46" t="n">
        <f aca="false">IF(Workflows!$V$6="Yes",M30*Workflows!$R$6*Assumptions!$B$31/60*Workflows!$S$6,0)</f>
        <v>0</v>
      </c>
      <c r="N36" s="46" t="n">
        <f aca="false">IF(Workflows!$V$6="Yes",N30*Workflows!$R$6*Assumptions!$B$31/60*Workflows!$S$6,0)</f>
        <v>0</v>
      </c>
      <c r="O36" s="46" t="n">
        <f aca="false">IF(Workflows!$V$6="Yes",O30*Workflows!$R$6*Assumptions!$B$31/60*Workflows!$S$6,0)</f>
        <v>0</v>
      </c>
      <c r="P36" s="46" t="n">
        <f aca="false">IF(Workflows!$V$6="Yes",P30*Workflows!$R$6*Assumptions!$B$31/60*Workflows!$S$6,0)</f>
        <v>0</v>
      </c>
      <c r="Q36" s="46" t="n">
        <f aca="false">IF(Workflows!$V$6="Yes",Q30*Workflows!$R$6*Assumptions!$B$31/60*Workflows!$S$6,0)</f>
        <v>0</v>
      </c>
      <c r="R36" s="46" t="n">
        <f aca="false">IF(Workflows!$V$6="Yes",R30*Workflows!$R$6*Assumptions!$B$31/60*Workflows!$S$6,0)</f>
        <v>0</v>
      </c>
      <c r="S36" s="46" t="n">
        <f aca="false">IF(Workflows!$V$6="Yes",S30*Workflows!$R$6*Assumptions!$B$31/60*Workflows!$S$6,0)</f>
        <v>0</v>
      </c>
      <c r="T36" s="46" t="n">
        <f aca="false">IF(Workflows!$V$6="Yes",T30*Workflows!$R$6*Assumptions!$B$31/60*Workflows!$S$6,0)</f>
        <v>0</v>
      </c>
      <c r="U36" s="46" t="n">
        <f aca="false">IF(Workflows!$V$6="Yes",U30*Workflows!$R$6*Assumptions!$B$31/60*Workflows!$S$6,0)</f>
        <v>0</v>
      </c>
      <c r="V36" s="46" t="n">
        <f aca="false">IF(Workflows!$V$6="Yes",V30*Workflows!$R$6*Assumptions!$B$31/60*Workflows!$S$6,0)</f>
        <v>0</v>
      </c>
      <c r="W36" s="46" t="n">
        <f aca="false">IF(Workflows!$V$6="Yes",W30*Workflows!$R$6*Assumptions!$B$31/60*Workflows!$S$6,0)</f>
        <v>0</v>
      </c>
      <c r="X36" s="46" t="n">
        <f aca="false">IF(Workflows!$V$6="Yes",X30*Workflows!$R$6*Assumptions!$B$31/60*Workflows!$S$6,0)</f>
        <v>0</v>
      </c>
      <c r="Y36" s="46" t="n">
        <f aca="false">IF(Workflows!$V$6="Yes",Y30*Workflows!$R$6*Assumptions!$B$31/60*Workflows!$S$6,0)</f>
        <v>0</v>
      </c>
      <c r="Z36" s="46" t="n">
        <f aca="false">IF(Workflows!$V$6="Yes",Z30*Workflows!$R$6*Assumptions!$B$31/60*Workflows!$S$6,0)</f>
        <v>0</v>
      </c>
    </row>
    <row r="37" customFormat="false" ht="15" hidden="false" customHeight="false" outlineLevel="0" collapsed="false">
      <c r="B37" s="34" t="s">
        <v>227</v>
      </c>
      <c r="C37" s="24" t="n">
        <f aca="false">C29-C30</f>
        <v>0</v>
      </c>
      <c r="D37" s="24" t="n">
        <f aca="false">D29-D30</f>
        <v>0</v>
      </c>
      <c r="E37" s="24" t="n">
        <f aca="false">E29-E30</f>
        <v>0</v>
      </c>
      <c r="F37" s="24" t="n">
        <f aca="false">F29-F30</f>
        <v>0</v>
      </c>
      <c r="G37" s="24" t="n">
        <f aca="false">G29-G30</f>
        <v>0</v>
      </c>
      <c r="H37" s="24" t="n">
        <f aca="false">H29-H30</f>
        <v>0</v>
      </c>
      <c r="I37" s="24" t="n">
        <f aca="false">I29-I30</f>
        <v>0</v>
      </c>
      <c r="J37" s="24" t="n">
        <f aca="false">J29-J30</f>
        <v>0</v>
      </c>
      <c r="K37" s="24" t="n">
        <f aca="false">K29-K30</f>
        <v>0</v>
      </c>
      <c r="L37" s="24" t="n">
        <f aca="false">L29-L30</f>
        <v>0</v>
      </c>
      <c r="M37" s="24" t="n">
        <f aca="false">M29-M30</f>
        <v>0</v>
      </c>
      <c r="N37" s="24" t="n">
        <f aca="false">N29-N30</f>
        <v>0</v>
      </c>
      <c r="O37" s="24" t="n">
        <f aca="false">O29-O30</f>
        <v>0</v>
      </c>
      <c r="P37" s="24" t="n">
        <f aca="false">P29-P30</f>
        <v>0</v>
      </c>
      <c r="Q37" s="24" t="n">
        <f aca="false">Q29-Q30</f>
        <v>0</v>
      </c>
      <c r="R37" s="24" t="n">
        <f aca="false">R29-R30</f>
        <v>0</v>
      </c>
      <c r="S37" s="24" t="n">
        <f aca="false">S29-S30</f>
        <v>0</v>
      </c>
      <c r="T37" s="24" t="n">
        <f aca="false">T29-T30</f>
        <v>0</v>
      </c>
      <c r="U37" s="24" t="n">
        <f aca="false">U29-U30</f>
        <v>0</v>
      </c>
      <c r="V37" s="24" t="n">
        <f aca="false">V29-V30</f>
        <v>0</v>
      </c>
      <c r="W37" s="24" t="n">
        <f aca="false">W29-W30</f>
        <v>0</v>
      </c>
      <c r="X37" s="24" t="n">
        <f aca="false">X29-X30</f>
        <v>0</v>
      </c>
      <c r="Y37" s="24" t="n">
        <f aca="false">Y29-Y30</f>
        <v>0</v>
      </c>
      <c r="Z37" s="24" t="n">
        <f aca="false">Z29-Z30</f>
        <v>0</v>
      </c>
    </row>
    <row r="38" customFormat="false" ht="15" hidden="false" customHeight="false" outlineLevel="0" collapsed="false">
      <c r="B38" s="34" t="s">
        <v>228</v>
      </c>
      <c r="C38" s="46" t="n">
        <f aca="false">C37*C26</f>
        <v>0</v>
      </c>
      <c r="D38" s="46" t="n">
        <f aca="false">D37*D26</f>
        <v>0</v>
      </c>
      <c r="E38" s="46" t="n">
        <f aca="false">E37*E26</f>
        <v>0</v>
      </c>
      <c r="F38" s="46" t="n">
        <f aca="false">F37*F26</f>
        <v>0</v>
      </c>
      <c r="G38" s="46" t="n">
        <f aca="false">G37*G26</f>
        <v>0</v>
      </c>
      <c r="H38" s="46" t="n">
        <f aca="false">H37*H26</f>
        <v>0</v>
      </c>
      <c r="I38" s="46" t="n">
        <f aca="false">I37*I26</f>
        <v>0</v>
      </c>
      <c r="J38" s="46" t="n">
        <f aca="false">J37*J26</f>
        <v>0</v>
      </c>
      <c r="K38" s="46" t="n">
        <f aca="false">K37*K26</f>
        <v>0</v>
      </c>
      <c r="L38" s="46" t="n">
        <f aca="false">L37*L26</f>
        <v>0</v>
      </c>
      <c r="M38" s="46" t="n">
        <f aca="false">M37*M26</f>
        <v>0</v>
      </c>
      <c r="N38" s="46" t="n">
        <f aca="false">N37*N26</f>
        <v>0</v>
      </c>
      <c r="O38" s="46" t="n">
        <f aca="false">O37*O26</f>
        <v>0</v>
      </c>
      <c r="P38" s="46" t="n">
        <f aca="false">P37*P26</f>
        <v>0</v>
      </c>
      <c r="Q38" s="46" t="n">
        <f aca="false">Q37*Q26</f>
        <v>0</v>
      </c>
      <c r="R38" s="46" t="n">
        <f aca="false">R37*R26</f>
        <v>0</v>
      </c>
      <c r="S38" s="46" t="n">
        <f aca="false">S37*S26</f>
        <v>0</v>
      </c>
      <c r="T38" s="46" t="n">
        <f aca="false">T37*T26</f>
        <v>0</v>
      </c>
      <c r="U38" s="46" t="n">
        <f aca="false">U37*U26</f>
        <v>0</v>
      </c>
      <c r="V38" s="46" t="n">
        <f aca="false">V37*V26</f>
        <v>0</v>
      </c>
      <c r="W38" s="46" t="n">
        <f aca="false">W37*W26</f>
        <v>0</v>
      </c>
      <c r="X38" s="46" t="n">
        <f aca="false">X37*X26</f>
        <v>0</v>
      </c>
      <c r="Y38" s="46" t="n">
        <f aca="false">Y37*Y26</f>
        <v>0</v>
      </c>
      <c r="Z38" s="46" t="n">
        <f aca="false">Z37*Z26</f>
        <v>0</v>
      </c>
    </row>
    <row r="39" customFormat="false" ht="15" hidden="false" customHeight="false" outlineLevel="0" collapsed="false">
      <c r="B39" s="34" t="inlineStr">
        <is>
          <t>Planned benefit lost to cap ($)</t>
        </is>
      </c>
      <c r="C39" s="46" t="n">
        <f aca="false">IF(C30=0,0,C37/C30*C35)</f>
        <v>0</v>
      </c>
      <c r="D39" s="46" t="n">
        <f aca="false">IF(D30=0,0,D37/D30*D35)</f>
        <v>0</v>
      </c>
      <c r="E39" s="46" t="n">
        <f aca="false">IF(E30=0,0,E37/E30*E35)</f>
        <v>0</v>
      </c>
      <c r="F39" s="46" t="n">
        <f aca="false">IF(F30=0,0,F37/F30*F35)</f>
        <v>0</v>
      </c>
      <c r="G39" s="46" t="n">
        <f aca="false">IF(G30=0,0,G37/G30*G35)</f>
        <v>0</v>
      </c>
      <c r="H39" s="46" t="n">
        <f aca="false">IF(H30=0,0,H37/H30*H35)</f>
        <v>0</v>
      </c>
      <c r="I39" s="46" t="n">
        <f aca="false">IF(I30=0,0,I37/I30*I35)</f>
        <v>0</v>
      </c>
      <c r="J39" s="46" t="n">
        <f aca="false">IF(J30=0,0,J37/J30*J35)</f>
        <v>0</v>
      </c>
      <c r="K39" s="46" t="n">
        <f aca="false">IF(K30=0,0,K37/K30*K35)</f>
        <v>0</v>
      </c>
      <c r="L39" s="46" t="n">
        <f aca="false">IF(L30=0,0,L37/L30*L35)</f>
        <v>0</v>
      </c>
      <c r="M39" s="46" t="n">
        <f aca="false">IF(M30=0,0,M37/M30*M35)</f>
        <v>0</v>
      </c>
      <c r="N39" s="46" t="n">
        <f aca="false">IF(N30=0,0,N37/N30*N35)</f>
        <v>0</v>
      </c>
      <c r="O39" s="46" t="n">
        <f aca="false">IF(O30=0,0,O37/O30*O35)</f>
        <v>0</v>
      </c>
      <c r="P39" s="46" t="n">
        <f aca="false">IF(P30=0,0,P37/P30*P35)</f>
        <v>0</v>
      </c>
      <c r="Q39" s="46" t="n">
        <f aca="false">IF(Q30=0,0,Q37/Q30*Q35)</f>
        <v>0</v>
      </c>
      <c r="R39" s="46" t="n">
        <f aca="false">IF(R30=0,0,R37/R30*R35)</f>
        <v>0</v>
      </c>
      <c r="S39" s="46" t="n">
        <f aca="false">IF(S30=0,0,S37/S30*S35)</f>
        <v>0</v>
      </c>
      <c r="T39" s="46" t="n">
        <f aca="false">IF(T30=0,0,T37/T30*T35)</f>
        <v>0</v>
      </c>
      <c r="U39" s="46" t="n">
        <f aca="false">IF(U30=0,0,U37/U30*U35)</f>
        <v>0</v>
      </c>
      <c r="V39" s="46" t="n">
        <f aca="false">IF(V30=0,0,V37/V30*V35)</f>
        <v>0</v>
      </c>
      <c r="W39" s="46" t="n">
        <f aca="false">IF(W30=0,0,W37/W30*W35)</f>
        <v>0</v>
      </c>
      <c r="X39" s="46" t="n">
        <f aca="false">IF(X30=0,0,X37/X30*X35)</f>
        <v>0</v>
      </c>
      <c r="Y39" s="46" t="n">
        <f aca="false">IF(Y30=0,0,Y37/Y30*Y35)</f>
        <v>0</v>
      </c>
      <c r="Z39" s="46" t="n">
        <f aca="false">IF(Z30=0,0,Z37/Z30*Z35)</f>
        <v>0</v>
      </c>
    </row>
    <row r="41" customFormat="false" ht="15" hidden="false" customHeight="false" outlineLevel="0" collapsed="false">
      <c r="A41" s="50" t="str">
        <f aca="false">Workflows!A7</f>
        <v>Finance commentary draft</v>
      </c>
      <c r="B41" s="34" t="s">
        <v>219</v>
      </c>
      <c r="C41" s="24" t="n">
        <f aca="false">Workflows!$D$7*MIN(1,Workflows!$E$7*Assumptions!$B$26)*MIN(1,C$4/MAX(1,Workflows!$F$7))</f>
        <v>12</v>
      </c>
      <c r="D41" s="24" t="n">
        <f aca="false">Workflows!$D$7*MIN(1,Workflows!$E$7*Assumptions!$B$26)*MIN(1,D$4/MAX(1,Workflows!$F$7))</f>
        <v>24</v>
      </c>
      <c r="E41" s="24" t="n">
        <f aca="false">Workflows!$D$7*MIN(1,Workflows!$E$7*Assumptions!$B$26)*MIN(1,E$4/MAX(1,Workflows!$F$7))</f>
        <v>36</v>
      </c>
      <c r="F41" s="24" t="n">
        <f aca="false">Workflows!$D$7*MIN(1,Workflows!$E$7*Assumptions!$B$26)*MIN(1,F$4/MAX(1,Workflows!$F$7))</f>
        <v>48</v>
      </c>
      <c r="G41" s="24" t="n">
        <f aca="false">Workflows!$D$7*MIN(1,Workflows!$E$7*Assumptions!$B$26)*MIN(1,G$4/MAX(1,Workflows!$F$7))</f>
        <v>60</v>
      </c>
      <c r="H41" s="24" t="n">
        <f aca="false">Workflows!$D$7*MIN(1,Workflows!$E$7*Assumptions!$B$26)*MIN(1,H$4/MAX(1,Workflows!$F$7))</f>
        <v>72</v>
      </c>
      <c r="I41" s="24" t="n">
        <f aca="false">Workflows!$D$7*MIN(1,Workflows!$E$7*Assumptions!$B$26)*MIN(1,I$4/MAX(1,Workflows!$F$7))</f>
        <v>72</v>
      </c>
      <c r="J41" s="24" t="n">
        <f aca="false">Workflows!$D$7*MIN(1,Workflows!$E$7*Assumptions!$B$26)*MIN(1,J$4/MAX(1,Workflows!$F$7))</f>
        <v>72</v>
      </c>
      <c r="K41" s="24" t="n">
        <f aca="false">Workflows!$D$7*MIN(1,Workflows!$E$7*Assumptions!$B$26)*MIN(1,K$4/MAX(1,Workflows!$F$7))</f>
        <v>72</v>
      </c>
      <c r="L41" s="24" t="n">
        <f aca="false">Workflows!$D$7*MIN(1,Workflows!$E$7*Assumptions!$B$26)*MIN(1,L$4/MAX(1,Workflows!$F$7))</f>
        <v>72</v>
      </c>
      <c r="M41" s="24" t="n">
        <f aca="false">Workflows!$D$7*MIN(1,Workflows!$E$7*Assumptions!$B$26)*MIN(1,M$4/MAX(1,Workflows!$F$7))</f>
        <v>72</v>
      </c>
      <c r="N41" s="24" t="n">
        <f aca="false">Workflows!$D$7*MIN(1,Workflows!$E$7*Assumptions!$B$26)*MIN(1,N$4/MAX(1,Workflows!$F$7))</f>
        <v>72</v>
      </c>
      <c r="O41" s="24" t="n">
        <f aca="false">Workflows!$D$7*MIN(1,Workflows!$E$7*Assumptions!$B$26)*MIN(1,O$4/MAX(1,Workflows!$F$7))</f>
        <v>72</v>
      </c>
      <c r="P41" s="24" t="n">
        <f aca="false">Workflows!$D$7*MIN(1,Workflows!$E$7*Assumptions!$B$26)*MIN(1,P$4/MAX(1,Workflows!$F$7))</f>
        <v>72</v>
      </c>
      <c r="Q41" s="24" t="n">
        <f aca="false">Workflows!$D$7*MIN(1,Workflows!$E$7*Assumptions!$B$26)*MIN(1,Q$4/MAX(1,Workflows!$F$7))</f>
        <v>72</v>
      </c>
      <c r="R41" s="24" t="n">
        <f aca="false">Workflows!$D$7*MIN(1,Workflows!$E$7*Assumptions!$B$26)*MIN(1,R$4/MAX(1,Workflows!$F$7))</f>
        <v>72</v>
      </c>
      <c r="S41" s="24" t="n">
        <f aca="false">Workflows!$D$7*MIN(1,Workflows!$E$7*Assumptions!$B$26)*MIN(1,S$4/MAX(1,Workflows!$F$7))</f>
        <v>72</v>
      </c>
      <c r="T41" s="24" t="n">
        <f aca="false">Workflows!$D$7*MIN(1,Workflows!$E$7*Assumptions!$B$26)*MIN(1,T$4/MAX(1,Workflows!$F$7))</f>
        <v>72</v>
      </c>
      <c r="U41" s="24" t="n">
        <f aca="false">Workflows!$D$7*MIN(1,Workflows!$E$7*Assumptions!$B$26)*MIN(1,U$4/MAX(1,Workflows!$F$7))</f>
        <v>72</v>
      </c>
      <c r="V41" s="24" t="n">
        <f aca="false">Workflows!$D$7*MIN(1,Workflows!$E$7*Assumptions!$B$26)*MIN(1,V$4/MAX(1,Workflows!$F$7))</f>
        <v>72</v>
      </c>
      <c r="W41" s="24" t="n">
        <f aca="false">Workflows!$D$7*MIN(1,Workflows!$E$7*Assumptions!$B$26)*MIN(1,W$4/MAX(1,Workflows!$F$7))</f>
        <v>72</v>
      </c>
      <c r="X41" s="24" t="n">
        <f aca="false">Workflows!$D$7*MIN(1,Workflows!$E$7*Assumptions!$B$26)*MIN(1,X$4/MAX(1,Workflows!$F$7))</f>
        <v>72</v>
      </c>
      <c r="Y41" s="24" t="n">
        <f aca="false">Workflows!$D$7*MIN(1,Workflows!$E$7*Assumptions!$B$26)*MIN(1,Y$4/MAX(1,Workflows!$F$7))</f>
        <v>72</v>
      </c>
      <c r="Z41" s="24" t="n">
        <f aca="false">Workflows!$D$7*MIN(1,Workflows!$E$7*Assumptions!$B$26)*MIN(1,Z$4/MAX(1,Workflows!$F$7))</f>
        <v>72</v>
      </c>
    </row>
    <row r="42" customFormat="false" ht="15" hidden="false" customHeight="false" outlineLevel="0" collapsed="false">
      <c r="A42" s="51" t="str">
        <f aca="false">Workflows!B7</f>
        <v>Finance analyst</v>
      </c>
      <c r="B42" s="34" t="s">
        <v>220</v>
      </c>
      <c r="C42" s="24" t="n">
        <f aca="false">Workflows!$G$7*Assumptions!$B$5*Assumptions!$B$27</f>
        <v>63</v>
      </c>
      <c r="D42" s="24" t="n">
        <f aca="false">Workflows!$G$7*Assumptions!$B$5*Assumptions!$B$27</f>
        <v>63</v>
      </c>
      <c r="E42" s="24" t="n">
        <f aca="false">Workflows!$G$7*Assumptions!$B$5*Assumptions!$B$27</f>
        <v>63</v>
      </c>
      <c r="F42" s="24" t="n">
        <f aca="false">Workflows!$G$7*Assumptions!$B$5*Assumptions!$B$27</f>
        <v>63</v>
      </c>
      <c r="G42" s="24" t="n">
        <f aca="false">Workflows!$G$7*Assumptions!$B$5*Assumptions!$B$27</f>
        <v>63</v>
      </c>
      <c r="H42" s="24" t="n">
        <f aca="false">Workflows!$G$7*Assumptions!$B$5*Assumptions!$B$27</f>
        <v>63</v>
      </c>
      <c r="I42" s="24" t="n">
        <f aca="false">Workflows!$G$7*Assumptions!$B$5*Assumptions!$B$27</f>
        <v>63</v>
      </c>
      <c r="J42" s="24" t="n">
        <f aca="false">Workflows!$G$7*Assumptions!$B$5*Assumptions!$B$27</f>
        <v>63</v>
      </c>
      <c r="K42" s="24" t="n">
        <f aca="false">Workflows!$G$7*Assumptions!$B$5*Assumptions!$B$27</f>
        <v>63</v>
      </c>
      <c r="L42" s="24" t="n">
        <f aca="false">Workflows!$G$7*Assumptions!$B$5*Assumptions!$B$27</f>
        <v>63</v>
      </c>
      <c r="M42" s="24" t="n">
        <f aca="false">Workflows!$G$7*Assumptions!$B$5*Assumptions!$B$27</f>
        <v>63</v>
      </c>
      <c r="N42" s="24" t="n">
        <f aca="false">Workflows!$G$7*Assumptions!$B$5*Assumptions!$B$27</f>
        <v>63</v>
      </c>
      <c r="O42" s="24" t="n">
        <f aca="false">Workflows!$G$7*Assumptions!$B$5*Assumptions!$B$27</f>
        <v>63</v>
      </c>
      <c r="P42" s="24" t="n">
        <f aca="false">Workflows!$G$7*Assumptions!$B$5*Assumptions!$B$27</f>
        <v>63</v>
      </c>
      <c r="Q42" s="24" t="n">
        <f aca="false">Workflows!$G$7*Assumptions!$B$5*Assumptions!$B$27</f>
        <v>63</v>
      </c>
      <c r="R42" s="24" t="n">
        <f aca="false">Workflows!$G$7*Assumptions!$B$5*Assumptions!$B$27</f>
        <v>63</v>
      </c>
      <c r="S42" s="24" t="n">
        <f aca="false">Workflows!$G$7*Assumptions!$B$5*Assumptions!$B$27</f>
        <v>63</v>
      </c>
      <c r="T42" s="24" t="n">
        <f aca="false">Workflows!$G$7*Assumptions!$B$5*Assumptions!$B$27</f>
        <v>63</v>
      </c>
      <c r="U42" s="24" t="n">
        <f aca="false">Workflows!$G$7*Assumptions!$B$5*Assumptions!$B$27</f>
        <v>63</v>
      </c>
      <c r="V42" s="24" t="n">
        <f aca="false">Workflows!$G$7*Assumptions!$B$5*Assumptions!$B$27</f>
        <v>63</v>
      </c>
      <c r="W42" s="24" t="n">
        <f aca="false">Workflows!$G$7*Assumptions!$B$5*Assumptions!$B$27</f>
        <v>63</v>
      </c>
      <c r="X42" s="24" t="n">
        <f aca="false">Workflows!$G$7*Assumptions!$B$5*Assumptions!$B$27</f>
        <v>63</v>
      </c>
      <c r="Y42" s="24" t="n">
        <f aca="false">Workflows!$G$7*Assumptions!$B$5*Assumptions!$B$27</f>
        <v>63</v>
      </c>
      <c r="Z42" s="24" t="n">
        <f aca="false">Workflows!$G$7*Assumptions!$B$5*Assumptions!$B$27</f>
        <v>63</v>
      </c>
    </row>
    <row r="43" customFormat="false" ht="15" hidden="false" customHeight="false" outlineLevel="0" collapsed="false">
      <c r="B43" s="34" t="s">
        <v>170</v>
      </c>
      <c r="C43" s="45" t="n">
        <f aca="false">Workflows!$Z$7*Assumptions!$B$28*C$5</f>
        <v>0.0074592</v>
      </c>
      <c r="D43" s="45" t="n">
        <f aca="false">Workflows!$Z$7*Assumptions!$B$28*D$5</f>
        <v>0.00732177565163429</v>
      </c>
      <c r="E43" s="45" t="n">
        <f aca="false">Workflows!$Z$7*Assumptions!$B$28*E$5</f>
        <v>0.00718688313664531</v>
      </c>
      <c r="F43" s="45" t="n">
        <f aca="false">Workflows!$Z$7*Assumptions!$B$28*F$5</f>
        <v>0.00705447580987649</v>
      </c>
      <c r="G43" s="45" t="n">
        <f aca="false">Workflows!$Z$7*Assumptions!$B$28*G$5</f>
        <v>0.00692450788553689</v>
      </c>
      <c r="H43" s="45" t="n">
        <f aca="false">Workflows!$Z$7*Assumptions!$B$28*H$5</f>
        <v>0.00679693442136873</v>
      </c>
      <c r="I43" s="45" t="n">
        <f aca="false">Workflows!$Z$7*Assumptions!$B$28*I$5</f>
        <v>0.00667171130310657</v>
      </c>
      <c r="J43" s="45" t="n">
        <f aca="false">Workflows!$Z$7*Assumptions!$B$28*J$5</f>
        <v>0.00654879522922284</v>
      </c>
      <c r="K43" s="45" t="n">
        <f aca="false">Workflows!$Z$7*Assumptions!$B$28*K$5</f>
        <v>0.00642814369595433</v>
      </c>
      <c r="L43" s="45" t="n">
        <f aca="false">Workflows!$Z$7*Assumptions!$B$28*L$5</f>
        <v>0.00630971498260469</v>
      </c>
      <c r="M43" s="45" t="n">
        <f aca="false">Workflows!$Z$7*Assumptions!$B$28*M$5</f>
        <v>0.00619346813711753</v>
      </c>
      <c r="N43" s="45" t="n">
        <f aca="false">Workflows!$Z$7*Assumptions!$B$28*N$5</f>
        <v>0.00607936296191547</v>
      </c>
      <c r="O43" s="45" t="n">
        <f aca="false">Workflows!$Z$7*Assumptions!$B$28*O$5</f>
        <v>0.00596736</v>
      </c>
      <c r="P43" s="45" t="n">
        <f aca="false">Workflows!$Z$7*Assumptions!$B$28*P$5</f>
        <v>0.00585742052130743</v>
      </c>
      <c r="Q43" s="45" t="n">
        <f aca="false">Workflows!$Z$7*Assumptions!$B$28*Q$5</f>
        <v>0.00574950650931625</v>
      </c>
      <c r="R43" s="45" t="n">
        <f aca="false">Workflows!$Z$7*Assumptions!$B$28*R$5</f>
        <v>0.00564358064790119</v>
      </c>
      <c r="S43" s="45" t="n">
        <f aca="false">Workflows!$Z$7*Assumptions!$B$28*S$5</f>
        <v>0.00553960630842951</v>
      </c>
      <c r="T43" s="45" t="n">
        <f aca="false">Workflows!$Z$7*Assumptions!$B$28*T$5</f>
        <v>0.00543754753709498</v>
      </c>
      <c r="U43" s="45" t="n">
        <f aca="false">Workflows!$Z$7*Assumptions!$B$28*U$5</f>
        <v>0.00533736904248526</v>
      </c>
      <c r="V43" s="45" t="n">
        <f aca="false">Workflows!$Z$7*Assumptions!$B$28*V$5</f>
        <v>0.00523903618337827</v>
      </c>
      <c r="W43" s="45" t="n">
        <f aca="false">Workflows!$Z$7*Assumptions!$B$28*W$5</f>
        <v>0.00514251495676347</v>
      </c>
      <c r="X43" s="45" t="n">
        <f aca="false">Workflows!$Z$7*Assumptions!$B$28*X$5</f>
        <v>0.00504777198608375</v>
      </c>
      <c r="Y43" s="45" t="n">
        <f aca="false">Workflows!$Z$7*Assumptions!$B$28*Y$5</f>
        <v>0.00495477450969402</v>
      </c>
      <c r="Z43" s="45" t="n">
        <f aca="false">Workflows!$Z$7*Assumptions!$B$28*Z$5</f>
        <v>0.00486349036953238</v>
      </c>
    </row>
    <row r="44" customFormat="false" ht="15" hidden="false" customHeight="false" outlineLevel="0" collapsed="false">
      <c r="B44" s="34" t="s">
        <v>221</v>
      </c>
      <c r="C44" s="46" t="n">
        <f aca="false">MIN(C42*C43,Workflows!$O$7)</f>
        <v>0.4699296</v>
      </c>
      <c r="D44" s="46" t="n">
        <f aca="false">MIN(D42*D43,Workflows!$O$7)</f>
        <v>0.46127186605296</v>
      </c>
      <c r="E44" s="46" t="n">
        <f aca="false">MIN(E42*E43,Workflows!$O$7)</f>
        <v>0.452773637608655</v>
      </c>
      <c r="F44" s="46" t="n">
        <f aca="false">MIN(F42*F43,Workflows!$O$7)</f>
        <v>0.444431976022219</v>
      </c>
      <c r="G44" s="46" t="n">
        <f aca="false">MIN(G42*G43,Workflows!$O$7)</f>
        <v>0.436243996788824</v>
      </c>
      <c r="H44" s="46" t="n">
        <f aca="false">MIN(H42*H43,Workflows!$O$7)</f>
        <v>0.42820686854623</v>
      </c>
      <c r="I44" s="46" t="n">
        <f aca="false">MIN(I42*I43,Workflows!$O$7)</f>
        <v>0.420317812095714</v>
      </c>
      <c r="J44" s="46" t="n">
        <f aca="false">MIN(J42*J43,Workflows!$O$7)</f>
        <v>0.412574099441039</v>
      </c>
      <c r="K44" s="46" t="n">
        <f aca="false">MIN(K42*K43,Workflows!$O$7)</f>
        <v>0.404973052845123</v>
      </c>
      <c r="L44" s="46" t="n">
        <f aca="false">MIN(L42*L43,Workflows!$O$7)</f>
        <v>0.397512043904095</v>
      </c>
      <c r="M44" s="46" t="n">
        <f aca="false">MIN(M42*M43,Workflows!$O$7)</f>
        <v>0.390188492638404</v>
      </c>
      <c r="N44" s="46" t="n">
        <f aca="false">MIN(N42*N43,Workflows!$O$7)</f>
        <v>0.382999866600675</v>
      </c>
      <c r="O44" s="46" t="n">
        <f aca="false">MIN(O42*O43,Workflows!$O$7)</f>
        <v>0.37594368</v>
      </c>
      <c r="P44" s="46" t="n">
        <f aca="false">MIN(P42*P43,Workflows!$O$7)</f>
        <v>0.369017492842368</v>
      </c>
      <c r="Q44" s="46" t="n">
        <f aca="false">MIN(Q42*Q43,Workflows!$O$7)</f>
        <v>0.362218910086924</v>
      </c>
      <c r="R44" s="46" t="n">
        <f aca="false">MIN(R42*R43,Workflows!$O$7)</f>
        <v>0.355545580817775</v>
      </c>
      <c r="S44" s="46" t="n">
        <f aca="false">MIN(S42*S43,Workflows!$O$7)</f>
        <v>0.348995197431059</v>
      </c>
      <c r="T44" s="46" t="n">
        <f aca="false">MIN(T42*T43,Workflows!$O$7)</f>
        <v>0.342565494836984</v>
      </c>
      <c r="U44" s="46" t="n">
        <f aca="false">MIN(U42*U43,Workflows!$O$7)</f>
        <v>0.336254249676571</v>
      </c>
      <c r="V44" s="46" t="n">
        <f aca="false">MIN(V42*V43,Workflows!$O$7)</f>
        <v>0.330059279552831</v>
      </c>
      <c r="W44" s="46" t="n">
        <f aca="false">MIN(W42*W43,Workflows!$O$7)</f>
        <v>0.323978442276098</v>
      </c>
      <c r="X44" s="46" t="n">
        <f aca="false">MIN(X42*X43,Workflows!$O$7)</f>
        <v>0.318009635123276</v>
      </c>
      <c r="Y44" s="46" t="n">
        <f aca="false">MIN(Y42*Y43,Workflows!$O$7)</f>
        <v>0.312150794110723</v>
      </c>
      <c r="Z44" s="46" t="n">
        <f aca="false">MIN(Z42*Z43,Workflows!$O$7)</f>
        <v>0.30639989328054</v>
      </c>
    </row>
    <row r="45" customFormat="false" ht="15" hidden="false" customHeight="false" outlineLevel="0" collapsed="false">
      <c r="B45" s="34" t="s">
        <v>222</v>
      </c>
      <c r="C45" s="36" t="n">
        <f aca="false">IF(C42*C43=0,1,MIN(1,Workflows!$O$7/(C42*C43)))</f>
        <v>1</v>
      </c>
      <c r="D45" s="36" t="n">
        <f aca="false">IF(D42*D43=0,1,MIN(1,Workflows!$O$7/(D42*D43)))</f>
        <v>1</v>
      </c>
      <c r="E45" s="36" t="n">
        <f aca="false">IF(E42*E43=0,1,MIN(1,Workflows!$O$7/(E42*E43)))</f>
        <v>1</v>
      </c>
      <c r="F45" s="36" t="n">
        <f aca="false">IF(F42*F43=0,1,MIN(1,Workflows!$O$7/(F42*F43)))</f>
        <v>1</v>
      </c>
      <c r="G45" s="36" t="n">
        <f aca="false">IF(G42*G43=0,1,MIN(1,Workflows!$O$7/(G42*G43)))</f>
        <v>1</v>
      </c>
      <c r="H45" s="36" t="n">
        <f aca="false">IF(H42*H43=0,1,MIN(1,Workflows!$O$7/(H42*H43)))</f>
        <v>1</v>
      </c>
      <c r="I45" s="36" t="n">
        <f aca="false">IF(I42*I43=0,1,MIN(1,Workflows!$O$7/(I42*I43)))</f>
        <v>1</v>
      </c>
      <c r="J45" s="36" t="n">
        <f aca="false">IF(J42*J43=0,1,MIN(1,Workflows!$O$7/(J42*J43)))</f>
        <v>1</v>
      </c>
      <c r="K45" s="36" t="n">
        <f aca="false">IF(K42*K43=0,1,MIN(1,Workflows!$O$7/(K42*K43)))</f>
        <v>1</v>
      </c>
      <c r="L45" s="36" t="n">
        <f aca="false">IF(L42*L43=0,1,MIN(1,Workflows!$O$7/(L42*L43)))</f>
        <v>1</v>
      </c>
      <c r="M45" s="36" t="n">
        <f aca="false">IF(M42*M43=0,1,MIN(1,Workflows!$O$7/(M42*M43)))</f>
        <v>1</v>
      </c>
      <c r="N45" s="36" t="n">
        <f aca="false">IF(N42*N43=0,1,MIN(1,Workflows!$O$7/(N42*N43)))</f>
        <v>1</v>
      </c>
      <c r="O45" s="36" t="n">
        <f aca="false">IF(O42*O43=0,1,MIN(1,Workflows!$O$7/(O42*O43)))</f>
        <v>1</v>
      </c>
      <c r="P45" s="36" t="n">
        <f aca="false">IF(P42*P43=0,1,MIN(1,Workflows!$O$7/(P42*P43)))</f>
        <v>1</v>
      </c>
      <c r="Q45" s="36" t="n">
        <f aca="false">IF(Q42*Q43=0,1,MIN(1,Workflows!$O$7/(Q42*Q43)))</f>
        <v>1</v>
      </c>
      <c r="R45" s="36" t="n">
        <f aca="false">IF(R42*R43=0,1,MIN(1,Workflows!$O$7/(R42*R43)))</f>
        <v>1</v>
      </c>
      <c r="S45" s="36" t="n">
        <f aca="false">IF(S42*S43=0,1,MIN(1,Workflows!$O$7/(S42*S43)))</f>
        <v>1</v>
      </c>
      <c r="T45" s="36" t="n">
        <f aca="false">IF(T42*T43=0,1,MIN(1,Workflows!$O$7/(T42*T43)))</f>
        <v>1</v>
      </c>
      <c r="U45" s="36" t="n">
        <f aca="false">IF(U42*U43=0,1,MIN(1,Workflows!$O$7/(U42*U43)))</f>
        <v>1</v>
      </c>
      <c r="V45" s="36" t="n">
        <f aca="false">IF(V42*V43=0,1,MIN(1,Workflows!$O$7/(V42*V43)))</f>
        <v>1</v>
      </c>
      <c r="W45" s="36" t="n">
        <f aca="false">IF(W42*W43=0,1,MIN(1,Workflows!$O$7/(W42*W43)))</f>
        <v>1</v>
      </c>
      <c r="X45" s="36" t="n">
        <f aca="false">IF(X42*X43=0,1,MIN(1,Workflows!$O$7/(X42*X43)))</f>
        <v>1</v>
      </c>
      <c r="Y45" s="36" t="n">
        <f aca="false">IF(Y42*Y43=0,1,MIN(1,Workflows!$O$7/(Y42*Y43)))</f>
        <v>1</v>
      </c>
      <c r="Z45" s="36" t="n">
        <f aca="false">IF(Z42*Z43=0,1,MIN(1,Workflows!$O$7/(Z42*Z43)))</f>
        <v>1</v>
      </c>
    </row>
    <row r="46" customFormat="false" ht="15" hidden="false" customHeight="false" outlineLevel="0" collapsed="false">
      <c r="B46" s="34" t="s">
        <v>223</v>
      </c>
      <c r="C46" s="24" t="n">
        <f aca="false">C41*C42</f>
        <v>756</v>
      </c>
      <c r="D46" s="24" t="n">
        <f aca="false">D41*D42</f>
        <v>1512</v>
      </c>
      <c r="E46" s="24" t="n">
        <f aca="false">E41*E42</f>
        <v>2268</v>
      </c>
      <c r="F46" s="24" t="n">
        <f aca="false">F41*F42</f>
        <v>3024</v>
      </c>
      <c r="G46" s="24" t="n">
        <f aca="false">G41*G42</f>
        <v>3780</v>
      </c>
      <c r="H46" s="24" t="n">
        <f aca="false">H41*H42</f>
        <v>4536</v>
      </c>
      <c r="I46" s="24" t="n">
        <f aca="false">I41*I42</f>
        <v>4536</v>
      </c>
      <c r="J46" s="24" t="n">
        <f aca="false">J41*J42</f>
        <v>4536</v>
      </c>
      <c r="K46" s="24" t="n">
        <f aca="false">K41*K42</f>
        <v>4536</v>
      </c>
      <c r="L46" s="24" t="n">
        <f aca="false">L41*L42</f>
        <v>4536</v>
      </c>
      <c r="M46" s="24" t="n">
        <f aca="false">M41*M42</f>
        <v>4536</v>
      </c>
      <c r="N46" s="24" t="n">
        <f aca="false">N41*N42</f>
        <v>4536</v>
      </c>
      <c r="O46" s="24" t="n">
        <f aca="false">O41*O42</f>
        <v>4536</v>
      </c>
      <c r="P46" s="24" t="n">
        <f aca="false">P41*P42</f>
        <v>4536</v>
      </c>
      <c r="Q46" s="24" t="n">
        <f aca="false">Q41*Q42</f>
        <v>4536</v>
      </c>
      <c r="R46" s="24" t="n">
        <f aca="false">R41*R42</f>
        <v>4536</v>
      </c>
      <c r="S46" s="24" t="n">
        <f aca="false">S41*S42</f>
        <v>4536</v>
      </c>
      <c r="T46" s="24" t="n">
        <f aca="false">T41*T42</f>
        <v>4536</v>
      </c>
      <c r="U46" s="24" t="n">
        <f aca="false">U41*U42</f>
        <v>4536</v>
      </c>
      <c r="V46" s="24" t="n">
        <f aca="false">V41*V42</f>
        <v>4536</v>
      </c>
      <c r="W46" s="24" t="n">
        <f aca="false">W41*W42</f>
        <v>4536</v>
      </c>
      <c r="X46" s="24" t="n">
        <f aca="false">X41*X42</f>
        <v>4536</v>
      </c>
      <c r="Y46" s="24" t="n">
        <f aca="false">Y41*Y42</f>
        <v>4536</v>
      </c>
      <c r="Z46" s="24" t="n">
        <f aca="false">Z41*Z42</f>
        <v>4536</v>
      </c>
    </row>
    <row r="47" customFormat="false" ht="15" hidden="false" customHeight="false" outlineLevel="0" collapsed="false">
      <c r="B47" s="34" t="s">
        <v>88</v>
      </c>
      <c r="C47" s="24" t="n">
        <f aca="false">C46*C45</f>
        <v>756</v>
      </c>
      <c r="D47" s="24" t="n">
        <f aca="false">D46*D45</f>
        <v>1512</v>
      </c>
      <c r="E47" s="24" t="n">
        <f aca="false">E46*E45</f>
        <v>2268</v>
      </c>
      <c r="F47" s="24" t="n">
        <f aca="false">F46*F45</f>
        <v>3024</v>
      </c>
      <c r="G47" s="24" t="n">
        <f aca="false">G46*G45</f>
        <v>3780</v>
      </c>
      <c r="H47" s="24" t="n">
        <f aca="false">H46*H45</f>
        <v>4536</v>
      </c>
      <c r="I47" s="24" t="n">
        <f aca="false">I46*I45</f>
        <v>4536</v>
      </c>
      <c r="J47" s="24" t="n">
        <f aca="false">J46*J45</f>
        <v>4536</v>
      </c>
      <c r="K47" s="24" t="n">
        <f aca="false">K46*K45</f>
        <v>4536</v>
      </c>
      <c r="L47" s="24" t="n">
        <f aca="false">L46*L45</f>
        <v>4536</v>
      </c>
      <c r="M47" s="24" t="n">
        <f aca="false">M46*M45</f>
        <v>4536</v>
      </c>
      <c r="N47" s="24" t="n">
        <f aca="false">N46*N45</f>
        <v>4536</v>
      </c>
      <c r="O47" s="24" t="n">
        <f aca="false">O46*O45</f>
        <v>4536</v>
      </c>
      <c r="P47" s="24" t="n">
        <f aca="false">P46*P45</f>
        <v>4536</v>
      </c>
      <c r="Q47" s="24" t="n">
        <f aca="false">Q46*Q45</f>
        <v>4536</v>
      </c>
      <c r="R47" s="24" t="n">
        <f aca="false">R46*R45</f>
        <v>4536</v>
      </c>
      <c r="S47" s="24" t="n">
        <f aca="false">S46*S45</f>
        <v>4536</v>
      </c>
      <c r="T47" s="24" t="n">
        <f aca="false">T46*T45</f>
        <v>4536</v>
      </c>
      <c r="U47" s="24" t="n">
        <f aca="false">U46*U45</f>
        <v>4536</v>
      </c>
      <c r="V47" s="24" t="n">
        <f aca="false">V46*V45</f>
        <v>4536</v>
      </c>
      <c r="W47" s="24" t="n">
        <f aca="false">W46*W45</f>
        <v>4536</v>
      </c>
      <c r="X47" s="24" t="n">
        <f aca="false">X46*X45</f>
        <v>4536</v>
      </c>
      <c r="Y47" s="24" t="n">
        <f aca="false">Y46*Y45</f>
        <v>4536</v>
      </c>
      <c r="Z47" s="24" t="n">
        <f aca="false">Z46*Z45</f>
        <v>4536</v>
      </c>
    </row>
    <row r="48" customFormat="false" ht="15" hidden="false" customHeight="false" outlineLevel="0" collapsed="false">
      <c r="B48" s="34" t="s">
        <v>224</v>
      </c>
      <c r="C48" s="24" t="n">
        <f aca="false">C47*MIN(1,Workflows!$P$7*Assumptions!$B$30)</f>
        <v>604.8</v>
      </c>
      <c r="D48" s="24" t="n">
        <f aca="false">D47*MIN(1,Workflows!$P$7*Assumptions!$B$30)</f>
        <v>1209.6</v>
      </c>
      <c r="E48" s="24" t="n">
        <f aca="false">E47*MIN(1,Workflows!$P$7*Assumptions!$B$30)</f>
        <v>1814.4</v>
      </c>
      <c r="F48" s="24" t="n">
        <f aca="false">F47*MIN(1,Workflows!$P$7*Assumptions!$B$30)</f>
        <v>2419.2</v>
      </c>
      <c r="G48" s="24" t="n">
        <f aca="false">G47*MIN(1,Workflows!$P$7*Assumptions!$B$30)</f>
        <v>3024</v>
      </c>
      <c r="H48" s="24" t="n">
        <f aca="false">H47*MIN(1,Workflows!$P$7*Assumptions!$B$30)</f>
        <v>3628.8</v>
      </c>
      <c r="I48" s="24" t="n">
        <f aca="false">I47*MIN(1,Workflows!$P$7*Assumptions!$B$30)</f>
        <v>3628.8</v>
      </c>
      <c r="J48" s="24" t="n">
        <f aca="false">J47*MIN(1,Workflows!$P$7*Assumptions!$B$30)</f>
        <v>3628.8</v>
      </c>
      <c r="K48" s="24" t="n">
        <f aca="false">K47*MIN(1,Workflows!$P$7*Assumptions!$B$30)</f>
        <v>3628.8</v>
      </c>
      <c r="L48" s="24" t="n">
        <f aca="false">L47*MIN(1,Workflows!$P$7*Assumptions!$B$30)</f>
        <v>3628.8</v>
      </c>
      <c r="M48" s="24" t="n">
        <f aca="false">M47*MIN(1,Workflows!$P$7*Assumptions!$B$30)</f>
        <v>3628.8</v>
      </c>
      <c r="N48" s="24" t="n">
        <f aca="false">N47*MIN(1,Workflows!$P$7*Assumptions!$B$30)</f>
        <v>3628.8</v>
      </c>
      <c r="O48" s="24" t="n">
        <f aca="false">O47*MIN(1,Workflows!$P$7*Assumptions!$B$30)</f>
        <v>3628.8</v>
      </c>
      <c r="P48" s="24" t="n">
        <f aca="false">P47*MIN(1,Workflows!$P$7*Assumptions!$B$30)</f>
        <v>3628.8</v>
      </c>
      <c r="Q48" s="24" t="n">
        <f aca="false">Q47*MIN(1,Workflows!$P$7*Assumptions!$B$30)</f>
        <v>3628.8</v>
      </c>
      <c r="R48" s="24" t="n">
        <f aca="false">R47*MIN(1,Workflows!$P$7*Assumptions!$B$30)</f>
        <v>3628.8</v>
      </c>
      <c r="S48" s="24" t="n">
        <f aca="false">S47*MIN(1,Workflows!$P$7*Assumptions!$B$30)</f>
        <v>3628.8</v>
      </c>
      <c r="T48" s="24" t="n">
        <f aca="false">T47*MIN(1,Workflows!$P$7*Assumptions!$B$30)</f>
        <v>3628.8</v>
      </c>
      <c r="U48" s="24" t="n">
        <f aca="false">U47*MIN(1,Workflows!$P$7*Assumptions!$B$30)</f>
        <v>3628.8</v>
      </c>
      <c r="V48" s="24" t="n">
        <f aca="false">V47*MIN(1,Workflows!$P$7*Assumptions!$B$30)</f>
        <v>3628.8</v>
      </c>
      <c r="W48" s="24" t="n">
        <f aca="false">W47*MIN(1,Workflows!$P$7*Assumptions!$B$30)</f>
        <v>3628.8</v>
      </c>
      <c r="X48" s="24" t="n">
        <f aca="false">X47*MIN(1,Workflows!$P$7*Assumptions!$B$30)</f>
        <v>3628.8</v>
      </c>
      <c r="Y48" s="24" t="n">
        <f aca="false">Y47*MIN(1,Workflows!$P$7*Assumptions!$B$30)</f>
        <v>3628.8</v>
      </c>
      <c r="Z48" s="24" t="n">
        <f aca="false">Z47*MIN(1,Workflows!$P$7*Assumptions!$B$30)</f>
        <v>3628.8</v>
      </c>
    </row>
    <row r="49" customFormat="false" ht="15" hidden="false" customHeight="false" outlineLevel="0" collapsed="false">
      <c r="B49" s="34" t="s">
        <v>225</v>
      </c>
      <c r="C49" s="46" t="n">
        <f aca="false">C41*C44</f>
        <v>5.6391552</v>
      </c>
      <c r="D49" s="46" t="n">
        <f aca="false">D41*D44</f>
        <v>11.070524785271</v>
      </c>
      <c r="E49" s="46" t="n">
        <f aca="false">E41*E44</f>
        <v>16.2998509539116</v>
      </c>
      <c r="F49" s="46" t="n">
        <f aca="false">F41*F44</f>
        <v>21.3327348490665</v>
      </c>
      <c r="G49" s="46" t="n">
        <f aca="false">G41*G44</f>
        <v>26.1746398073294</v>
      </c>
      <c r="H49" s="46" t="n">
        <f aca="false">H41*H44</f>
        <v>30.8308945353286</v>
      </c>
      <c r="I49" s="46" t="n">
        <f aca="false">I41*I44</f>
        <v>30.2628824708914</v>
      </c>
      <c r="J49" s="46" t="n">
        <f aca="false">J41*J44</f>
        <v>29.7053351597548</v>
      </c>
      <c r="K49" s="46" t="n">
        <f aca="false">K41*K44</f>
        <v>29.1580598048489</v>
      </c>
      <c r="L49" s="46" t="n">
        <f aca="false">L41*L44</f>
        <v>28.6208671610949</v>
      </c>
      <c r="M49" s="46" t="n">
        <f aca="false">M41*M44</f>
        <v>28.0935714699651</v>
      </c>
      <c r="N49" s="46" t="n">
        <f aca="false">N41*N44</f>
        <v>27.5759903952486</v>
      </c>
      <c r="O49" s="46" t="n">
        <f aca="false">O41*O44</f>
        <v>27.06794496</v>
      </c>
      <c r="P49" s="46" t="n">
        <f aca="false">P41*P44</f>
        <v>26.5692594846505</v>
      </c>
      <c r="Q49" s="46" t="n">
        <f aca="false">Q41*Q44</f>
        <v>26.0797615262585</v>
      </c>
      <c r="R49" s="46" t="n">
        <f aca="false">R41*R44</f>
        <v>25.5992818188798</v>
      </c>
      <c r="S49" s="46" t="n">
        <f aca="false">S41*S44</f>
        <v>25.1276542150363</v>
      </c>
      <c r="T49" s="46" t="n">
        <f aca="false">T41*T44</f>
        <v>24.6647156282628</v>
      </c>
      <c r="U49" s="46" t="n">
        <f aca="false">U41*U44</f>
        <v>24.2103059767131</v>
      </c>
      <c r="V49" s="46" t="n">
        <f aca="false">V41*V44</f>
        <v>23.7642681278038</v>
      </c>
      <c r="W49" s="46" t="n">
        <f aca="false">W41*W44</f>
        <v>23.3264478438791</v>
      </c>
      <c r="X49" s="46" t="n">
        <f aca="false">X41*X44</f>
        <v>22.8966937288759</v>
      </c>
      <c r="Y49" s="46" t="n">
        <f aca="false">Y41*Y44</f>
        <v>22.4748571759721</v>
      </c>
      <c r="Z49" s="46" t="n">
        <f aca="false">Z41*Z44</f>
        <v>22.0607923161989</v>
      </c>
    </row>
    <row r="50" customFormat="false" ht="15" hidden="false" customHeight="false" outlineLevel="0" collapsed="false">
      <c r="B50" s="34" t="s">
        <v>32</v>
      </c>
      <c r="C50" s="24" t="n">
        <f aca="false">MAX(0,C48*Workflows!$Q$7-IF(Workflows!$V$7="Yes",0,C47*Workflows!$R$7*Assumptions!$B$31))/60</f>
        <v>75.6</v>
      </c>
      <c r="D50" s="24" t="n">
        <f aca="false">MAX(0,D48*Workflows!$Q$7-IF(Workflows!$V$7="Yes",0,D47*Workflows!$R$7*Assumptions!$B$31))/60</f>
        <v>151.2</v>
      </c>
      <c r="E50" s="24" t="n">
        <f aca="false">MAX(0,E48*Workflows!$Q$7-IF(Workflows!$V$7="Yes",0,E47*Workflows!$R$7*Assumptions!$B$31))/60</f>
        <v>226.8</v>
      </c>
      <c r="F50" s="24" t="n">
        <f aca="false">MAX(0,F48*Workflows!$Q$7-IF(Workflows!$V$7="Yes",0,F47*Workflows!$R$7*Assumptions!$B$31))/60</f>
        <v>302.4</v>
      </c>
      <c r="G50" s="24" t="n">
        <f aca="false">MAX(0,G48*Workflows!$Q$7-IF(Workflows!$V$7="Yes",0,G47*Workflows!$R$7*Assumptions!$B$31))/60</f>
        <v>378</v>
      </c>
      <c r="H50" s="24" t="n">
        <f aca="false">MAX(0,H48*Workflows!$Q$7-IF(Workflows!$V$7="Yes",0,H47*Workflows!$R$7*Assumptions!$B$31))/60</f>
        <v>453.6</v>
      </c>
      <c r="I50" s="24" t="n">
        <f aca="false">MAX(0,I48*Workflows!$Q$7-IF(Workflows!$V$7="Yes",0,I47*Workflows!$R$7*Assumptions!$B$31))/60</f>
        <v>453.6</v>
      </c>
      <c r="J50" s="24" t="n">
        <f aca="false">MAX(0,J48*Workflows!$Q$7-IF(Workflows!$V$7="Yes",0,J47*Workflows!$R$7*Assumptions!$B$31))/60</f>
        <v>453.6</v>
      </c>
      <c r="K50" s="24" t="n">
        <f aca="false">MAX(0,K48*Workflows!$Q$7-IF(Workflows!$V$7="Yes",0,K47*Workflows!$R$7*Assumptions!$B$31))/60</f>
        <v>453.6</v>
      </c>
      <c r="L50" s="24" t="n">
        <f aca="false">MAX(0,L48*Workflows!$Q$7-IF(Workflows!$V$7="Yes",0,L47*Workflows!$R$7*Assumptions!$B$31))/60</f>
        <v>453.6</v>
      </c>
      <c r="M50" s="24" t="n">
        <f aca="false">MAX(0,M48*Workflows!$Q$7-IF(Workflows!$V$7="Yes",0,M47*Workflows!$R$7*Assumptions!$B$31))/60</f>
        <v>453.6</v>
      </c>
      <c r="N50" s="24" t="n">
        <f aca="false">MAX(0,N48*Workflows!$Q$7-IF(Workflows!$V$7="Yes",0,N47*Workflows!$R$7*Assumptions!$B$31))/60</f>
        <v>453.6</v>
      </c>
      <c r="O50" s="24" t="n">
        <f aca="false">MAX(0,O48*Workflows!$Q$7-IF(Workflows!$V$7="Yes",0,O47*Workflows!$R$7*Assumptions!$B$31))/60</f>
        <v>453.6</v>
      </c>
      <c r="P50" s="24" t="n">
        <f aca="false">MAX(0,P48*Workflows!$Q$7-IF(Workflows!$V$7="Yes",0,P47*Workflows!$R$7*Assumptions!$B$31))/60</f>
        <v>453.6</v>
      </c>
      <c r="Q50" s="24" t="n">
        <f aca="false">MAX(0,Q48*Workflows!$Q$7-IF(Workflows!$V$7="Yes",0,Q47*Workflows!$R$7*Assumptions!$B$31))/60</f>
        <v>453.6</v>
      </c>
      <c r="R50" s="24" t="n">
        <f aca="false">MAX(0,R48*Workflows!$Q$7-IF(Workflows!$V$7="Yes",0,R47*Workflows!$R$7*Assumptions!$B$31))/60</f>
        <v>453.6</v>
      </c>
      <c r="S50" s="24" t="n">
        <f aca="false">MAX(0,S48*Workflows!$Q$7-IF(Workflows!$V$7="Yes",0,S47*Workflows!$R$7*Assumptions!$B$31))/60</f>
        <v>453.6</v>
      </c>
      <c r="T50" s="24" t="n">
        <f aca="false">MAX(0,T48*Workflows!$Q$7-IF(Workflows!$V$7="Yes",0,T47*Workflows!$R$7*Assumptions!$B$31))/60</f>
        <v>453.6</v>
      </c>
      <c r="U50" s="24" t="n">
        <f aca="false">MAX(0,U48*Workflows!$Q$7-IF(Workflows!$V$7="Yes",0,U47*Workflows!$R$7*Assumptions!$B$31))/60</f>
        <v>453.6</v>
      </c>
      <c r="V50" s="24" t="n">
        <f aca="false">MAX(0,V48*Workflows!$Q$7-IF(Workflows!$V$7="Yes",0,V47*Workflows!$R$7*Assumptions!$B$31))/60</f>
        <v>453.6</v>
      </c>
      <c r="W50" s="24" t="n">
        <f aca="false">MAX(0,W48*Workflows!$Q$7-IF(Workflows!$V$7="Yes",0,W47*Workflows!$R$7*Assumptions!$B$31))/60</f>
        <v>453.6</v>
      </c>
      <c r="X50" s="24" t="n">
        <f aca="false">MAX(0,X48*Workflows!$Q$7-IF(Workflows!$V$7="Yes",0,X47*Workflows!$R$7*Assumptions!$B$31))/60</f>
        <v>453.6</v>
      </c>
      <c r="Y50" s="24" t="n">
        <f aca="false">MAX(0,Y48*Workflows!$Q$7-IF(Workflows!$V$7="Yes",0,Y47*Workflows!$R$7*Assumptions!$B$31))/60</f>
        <v>453.6</v>
      </c>
      <c r="Z50" s="24" t="n">
        <f aca="false">MAX(0,Z48*Workflows!$Q$7-IF(Workflows!$V$7="Yes",0,Z47*Workflows!$R$7*Assumptions!$B$31))/60</f>
        <v>453.6</v>
      </c>
    </row>
    <row r="51" customFormat="false" ht="15" hidden="false" customHeight="false" outlineLevel="0" collapsed="false">
      <c r="B51" s="34" t="s">
        <v>34</v>
      </c>
      <c r="C51" s="46" t="n">
        <f aca="false">C50*Workflows!$S$7</f>
        <v>6426</v>
      </c>
      <c r="D51" s="46" t="n">
        <f aca="false">D50*Workflows!$S$7</f>
        <v>12852</v>
      </c>
      <c r="E51" s="46" t="n">
        <f aca="false">E50*Workflows!$S$7</f>
        <v>19278</v>
      </c>
      <c r="F51" s="46" t="n">
        <f aca="false">F50*Workflows!$S$7</f>
        <v>25704</v>
      </c>
      <c r="G51" s="46" t="n">
        <f aca="false">G50*Workflows!$S$7</f>
        <v>32130</v>
      </c>
      <c r="H51" s="46" t="n">
        <f aca="false">H50*Workflows!$S$7</f>
        <v>38556</v>
      </c>
      <c r="I51" s="46" t="n">
        <f aca="false">I50*Workflows!$S$7</f>
        <v>38556</v>
      </c>
      <c r="J51" s="46" t="n">
        <f aca="false">J50*Workflows!$S$7</f>
        <v>38556</v>
      </c>
      <c r="K51" s="46" t="n">
        <f aca="false">K50*Workflows!$S$7</f>
        <v>38556</v>
      </c>
      <c r="L51" s="46" t="n">
        <f aca="false">L50*Workflows!$S$7</f>
        <v>38556</v>
      </c>
      <c r="M51" s="46" t="n">
        <f aca="false">M50*Workflows!$S$7</f>
        <v>38556</v>
      </c>
      <c r="N51" s="46" t="n">
        <f aca="false">N50*Workflows!$S$7</f>
        <v>38556</v>
      </c>
      <c r="O51" s="46" t="n">
        <f aca="false">O50*Workflows!$S$7</f>
        <v>38556</v>
      </c>
      <c r="P51" s="46" t="n">
        <f aca="false">P50*Workflows!$S$7</f>
        <v>38556</v>
      </c>
      <c r="Q51" s="46" t="n">
        <f aca="false">Q50*Workflows!$S$7</f>
        <v>38556</v>
      </c>
      <c r="R51" s="46" t="n">
        <f aca="false">R50*Workflows!$S$7</f>
        <v>38556</v>
      </c>
      <c r="S51" s="46" t="n">
        <f aca="false">S50*Workflows!$S$7</f>
        <v>38556</v>
      </c>
      <c r="T51" s="46" t="n">
        <f aca="false">T50*Workflows!$S$7</f>
        <v>38556</v>
      </c>
      <c r="U51" s="46" t="n">
        <f aca="false">U50*Workflows!$S$7</f>
        <v>38556</v>
      </c>
      <c r="V51" s="46" t="n">
        <f aca="false">V50*Workflows!$S$7</f>
        <v>38556</v>
      </c>
      <c r="W51" s="46" t="n">
        <f aca="false">W50*Workflows!$S$7</f>
        <v>38556</v>
      </c>
      <c r="X51" s="46" t="n">
        <f aca="false">X50*Workflows!$S$7</f>
        <v>38556</v>
      </c>
      <c r="Y51" s="46" t="n">
        <f aca="false">Y50*Workflows!$S$7</f>
        <v>38556</v>
      </c>
      <c r="Z51" s="46" t="n">
        <f aca="false">Z50*Workflows!$S$7</f>
        <v>38556</v>
      </c>
    </row>
    <row r="52" customFormat="false" ht="15" hidden="false" customHeight="false" outlineLevel="0" collapsed="false">
      <c r="B52" s="34" t="inlineStr">
        <is>
          <t>Planned benefit ($)</t>
        </is>
      </c>
      <c r="C52" s="46" t="n">
        <f aca="false">IF(C$4&gt;=Workflows!$U$7+Assumptions!$B$33,C51*MIN(1,Workflows!$T$7*Assumptions!$B$32),0)</f>
        <v>0</v>
      </c>
      <c r="D52" s="46" t="n">
        <f aca="false">IF(D$4&gt;=Workflows!$U$7+Assumptions!$B$33,D51*MIN(1,Workflows!$T$7*Assumptions!$B$32),0)</f>
        <v>0</v>
      </c>
      <c r="E52" s="46" t="n">
        <f aca="false">IF(E$4&gt;=Workflows!$U$7+Assumptions!$B$33,E51*MIN(1,Workflows!$T$7*Assumptions!$B$32),0)</f>
        <v>0</v>
      </c>
      <c r="F52" s="46" t="n">
        <f aca="false">IF(F$4&gt;=Workflows!$U$7+Assumptions!$B$33,F51*MIN(1,Workflows!$T$7*Assumptions!$B$32),0)</f>
        <v>7711.2</v>
      </c>
      <c r="G52" s="46" t="n">
        <f aca="false">IF(G$4&gt;=Workflows!$U$7+Assumptions!$B$33,G51*MIN(1,Workflows!$T$7*Assumptions!$B$32),0)</f>
        <v>9639</v>
      </c>
      <c r="H52" s="46" t="n">
        <f aca="false">IF(H$4&gt;=Workflows!$U$7+Assumptions!$B$33,H51*MIN(1,Workflows!$T$7*Assumptions!$B$32),0)</f>
        <v>11566.8</v>
      </c>
      <c r="I52" s="46" t="n">
        <f aca="false">IF(I$4&gt;=Workflows!$U$7+Assumptions!$B$33,I51*MIN(1,Workflows!$T$7*Assumptions!$B$32),0)</f>
        <v>11566.8</v>
      </c>
      <c r="J52" s="46" t="n">
        <f aca="false">IF(J$4&gt;=Workflows!$U$7+Assumptions!$B$33,J51*MIN(1,Workflows!$T$7*Assumptions!$B$32),0)</f>
        <v>11566.8</v>
      </c>
      <c r="K52" s="46" t="n">
        <f aca="false">IF(K$4&gt;=Workflows!$U$7+Assumptions!$B$33,K51*MIN(1,Workflows!$T$7*Assumptions!$B$32),0)</f>
        <v>11566.8</v>
      </c>
      <c r="L52" s="46" t="n">
        <f aca="false">IF(L$4&gt;=Workflows!$U$7+Assumptions!$B$33,L51*MIN(1,Workflows!$T$7*Assumptions!$B$32),0)</f>
        <v>11566.8</v>
      </c>
      <c r="M52" s="46" t="n">
        <f aca="false">IF(M$4&gt;=Workflows!$U$7+Assumptions!$B$33,M51*MIN(1,Workflows!$T$7*Assumptions!$B$32),0)</f>
        <v>11566.8</v>
      </c>
      <c r="N52" s="46" t="n">
        <f aca="false">IF(N$4&gt;=Workflows!$U$7+Assumptions!$B$33,N51*MIN(1,Workflows!$T$7*Assumptions!$B$32),0)</f>
        <v>11566.8</v>
      </c>
      <c r="O52" s="46" t="n">
        <f aca="false">IF(O$4&gt;=Workflows!$U$7+Assumptions!$B$33,O51*MIN(1,Workflows!$T$7*Assumptions!$B$32),0)</f>
        <v>11566.8</v>
      </c>
      <c r="P52" s="46" t="n">
        <f aca="false">IF(P$4&gt;=Workflows!$U$7+Assumptions!$B$33,P51*MIN(1,Workflows!$T$7*Assumptions!$B$32),0)</f>
        <v>11566.8</v>
      </c>
      <c r="Q52" s="46" t="n">
        <f aca="false">IF(Q$4&gt;=Workflows!$U$7+Assumptions!$B$33,Q51*MIN(1,Workflows!$T$7*Assumptions!$B$32),0)</f>
        <v>11566.8</v>
      </c>
      <c r="R52" s="46" t="n">
        <f aca="false">IF(R$4&gt;=Workflows!$U$7+Assumptions!$B$33,R51*MIN(1,Workflows!$T$7*Assumptions!$B$32),0)</f>
        <v>11566.8</v>
      </c>
      <c r="S52" s="46" t="n">
        <f aca="false">IF(S$4&gt;=Workflows!$U$7+Assumptions!$B$33,S51*MIN(1,Workflows!$T$7*Assumptions!$B$32),0)</f>
        <v>11566.8</v>
      </c>
      <c r="T52" s="46" t="n">
        <f aca="false">IF(T$4&gt;=Workflows!$U$7+Assumptions!$B$33,T51*MIN(1,Workflows!$T$7*Assumptions!$B$32),0)</f>
        <v>11566.8</v>
      </c>
      <c r="U52" s="46" t="n">
        <f aca="false">IF(U$4&gt;=Workflows!$U$7+Assumptions!$B$33,U51*MIN(1,Workflows!$T$7*Assumptions!$B$32),0)</f>
        <v>11566.8</v>
      </c>
      <c r="V52" s="46" t="n">
        <f aca="false">IF(V$4&gt;=Workflows!$U$7+Assumptions!$B$33,V51*MIN(1,Workflows!$T$7*Assumptions!$B$32),0)</f>
        <v>11566.8</v>
      </c>
      <c r="W52" s="46" t="n">
        <f aca="false">IF(W$4&gt;=Workflows!$U$7+Assumptions!$B$33,W51*MIN(1,Workflows!$T$7*Assumptions!$B$32),0)</f>
        <v>11566.8</v>
      </c>
      <c r="X52" s="46" t="n">
        <f aca="false">IF(X$4&gt;=Workflows!$U$7+Assumptions!$B$33,X51*MIN(1,Workflows!$T$7*Assumptions!$B$32),0)</f>
        <v>11566.8</v>
      </c>
      <c r="Y52" s="46" t="n">
        <f aca="false">IF(Y$4&gt;=Workflows!$U$7+Assumptions!$B$33,Y51*MIN(1,Workflows!$T$7*Assumptions!$B$32),0)</f>
        <v>11566.8</v>
      </c>
      <c r="Z52" s="46" t="n">
        <f aca="false">IF(Z$4&gt;=Workflows!$U$7+Assumptions!$B$33,Z51*MIN(1,Workflows!$T$7*Assumptions!$B$32),0)</f>
        <v>11566.8</v>
      </c>
    </row>
    <row r="53" customFormat="false" ht="15" hidden="false" customHeight="false" outlineLevel="0" collapsed="false">
      <c r="B53" s="34" t="s">
        <v>226</v>
      </c>
      <c r="C53" s="46" t="n">
        <f aca="false">IF(Workflows!$V$7="Yes",C47*Workflows!$R$7*Assumptions!$B$31/60*Workflows!$S$7,0)</f>
        <v>0</v>
      </c>
      <c r="D53" s="46" t="n">
        <f aca="false">IF(Workflows!$V$7="Yes",D47*Workflows!$R$7*Assumptions!$B$31/60*Workflows!$S$7,0)</f>
        <v>0</v>
      </c>
      <c r="E53" s="46" t="n">
        <f aca="false">IF(Workflows!$V$7="Yes",E47*Workflows!$R$7*Assumptions!$B$31/60*Workflows!$S$7,0)</f>
        <v>0</v>
      </c>
      <c r="F53" s="46" t="n">
        <f aca="false">IF(Workflows!$V$7="Yes",F47*Workflows!$R$7*Assumptions!$B$31/60*Workflows!$S$7,0)</f>
        <v>0</v>
      </c>
      <c r="G53" s="46" t="n">
        <f aca="false">IF(Workflows!$V$7="Yes",G47*Workflows!$R$7*Assumptions!$B$31/60*Workflows!$S$7,0)</f>
        <v>0</v>
      </c>
      <c r="H53" s="46" t="n">
        <f aca="false">IF(Workflows!$V$7="Yes",H47*Workflows!$R$7*Assumptions!$B$31/60*Workflows!$S$7,0)</f>
        <v>0</v>
      </c>
      <c r="I53" s="46" t="n">
        <f aca="false">IF(Workflows!$V$7="Yes",I47*Workflows!$R$7*Assumptions!$B$31/60*Workflows!$S$7,0)</f>
        <v>0</v>
      </c>
      <c r="J53" s="46" t="n">
        <f aca="false">IF(Workflows!$V$7="Yes",J47*Workflows!$R$7*Assumptions!$B$31/60*Workflows!$S$7,0)</f>
        <v>0</v>
      </c>
      <c r="K53" s="46" t="n">
        <f aca="false">IF(Workflows!$V$7="Yes",K47*Workflows!$R$7*Assumptions!$B$31/60*Workflows!$S$7,0)</f>
        <v>0</v>
      </c>
      <c r="L53" s="46" t="n">
        <f aca="false">IF(Workflows!$V$7="Yes",L47*Workflows!$R$7*Assumptions!$B$31/60*Workflows!$S$7,0)</f>
        <v>0</v>
      </c>
      <c r="M53" s="46" t="n">
        <f aca="false">IF(Workflows!$V$7="Yes",M47*Workflows!$R$7*Assumptions!$B$31/60*Workflows!$S$7,0)</f>
        <v>0</v>
      </c>
      <c r="N53" s="46" t="n">
        <f aca="false">IF(Workflows!$V$7="Yes",N47*Workflows!$R$7*Assumptions!$B$31/60*Workflows!$S$7,0)</f>
        <v>0</v>
      </c>
      <c r="O53" s="46" t="n">
        <f aca="false">IF(Workflows!$V$7="Yes",O47*Workflows!$R$7*Assumptions!$B$31/60*Workflows!$S$7,0)</f>
        <v>0</v>
      </c>
      <c r="P53" s="46" t="n">
        <f aca="false">IF(Workflows!$V$7="Yes",P47*Workflows!$R$7*Assumptions!$B$31/60*Workflows!$S$7,0)</f>
        <v>0</v>
      </c>
      <c r="Q53" s="46" t="n">
        <f aca="false">IF(Workflows!$V$7="Yes",Q47*Workflows!$R$7*Assumptions!$B$31/60*Workflows!$S$7,0)</f>
        <v>0</v>
      </c>
      <c r="R53" s="46" t="n">
        <f aca="false">IF(Workflows!$V$7="Yes",R47*Workflows!$R$7*Assumptions!$B$31/60*Workflows!$S$7,0)</f>
        <v>0</v>
      </c>
      <c r="S53" s="46" t="n">
        <f aca="false">IF(Workflows!$V$7="Yes",S47*Workflows!$R$7*Assumptions!$B$31/60*Workflows!$S$7,0)</f>
        <v>0</v>
      </c>
      <c r="T53" s="46" t="n">
        <f aca="false">IF(Workflows!$V$7="Yes",T47*Workflows!$R$7*Assumptions!$B$31/60*Workflows!$S$7,0)</f>
        <v>0</v>
      </c>
      <c r="U53" s="46" t="n">
        <f aca="false">IF(Workflows!$V$7="Yes",U47*Workflows!$R$7*Assumptions!$B$31/60*Workflows!$S$7,0)</f>
        <v>0</v>
      </c>
      <c r="V53" s="46" t="n">
        <f aca="false">IF(Workflows!$V$7="Yes",V47*Workflows!$R$7*Assumptions!$B$31/60*Workflows!$S$7,0)</f>
        <v>0</v>
      </c>
      <c r="W53" s="46" t="n">
        <f aca="false">IF(Workflows!$V$7="Yes",W47*Workflows!$R$7*Assumptions!$B$31/60*Workflows!$S$7,0)</f>
        <v>0</v>
      </c>
      <c r="X53" s="46" t="n">
        <f aca="false">IF(Workflows!$V$7="Yes",X47*Workflows!$R$7*Assumptions!$B$31/60*Workflows!$S$7,0)</f>
        <v>0</v>
      </c>
      <c r="Y53" s="46" t="n">
        <f aca="false">IF(Workflows!$V$7="Yes",Y47*Workflows!$R$7*Assumptions!$B$31/60*Workflows!$S$7,0)</f>
        <v>0</v>
      </c>
      <c r="Z53" s="46" t="n">
        <f aca="false">IF(Workflows!$V$7="Yes",Z47*Workflows!$R$7*Assumptions!$B$31/60*Workflows!$S$7,0)</f>
        <v>0</v>
      </c>
    </row>
    <row r="54" customFormat="false" ht="15" hidden="false" customHeight="false" outlineLevel="0" collapsed="false">
      <c r="B54" s="34" t="s">
        <v>227</v>
      </c>
      <c r="C54" s="24" t="n">
        <f aca="false">C46-C47</f>
        <v>0</v>
      </c>
      <c r="D54" s="24" t="n">
        <f aca="false">D46-D47</f>
        <v>0</v>
      </c>
      <c r="E54" s="24" t="n">
        <f aca="false">E46-E47</f>
        <v>0</v>
      </c>
      <c r="F54" s="24" t="n">
        <f aca="false">F46-F47</f>
        <v>0</v>
      </c>
      <c r="G54" s="24" t="n">
        <f aca="false">G46-G47</f>
        <v>0</v>
      </c>
      <c r="H54" s="24" t="n">
        <f aca="false">H46-H47</f>
        <v>0</v>
      </c>
      <c r="I54" s="24" t="n">
        <f aca="false">I46-I47</f>
        <v>0</v>
      </c>
      <c r="J54" s="24" t="n">
        <f aca="false">J46-J47</f>
        <v>0</v>
      </c>
      <c r="K54" s="24" t="n">
        <f aca="false">K46-K47</f>
        <v>0</v>
      </c>
      <c r="L54" s="24" t="n">
        <f aca="false">L46-L47</f>
        <v>0</v>
      </c>
      <c r="M54" s="24" t="n">
        <f aca="false">M46-M47</f>
        <v>0</v>
      </c>
      <c r="N54" s="24" t="n">
        <f aca="false">N46-N47</f>
        <v>0</v>
      </c>
      <c r="O54" s="24" t="n">
        <f aca="false">O46-O47</f>
        <v>0</v>
      </c>
      <c r="P54" s="24" t="n">
        <f aca="false">P46-P47</f>
        <v>0</v>
      </c>
      <c r="Q54" s="24" t="n">
        <f aca="false">Q46-Q47</f>
        <v>0</v>
      </c>
      <c r="R54" s="24" t="n">
        <f aca="false">R46-R47</f>
        <v>0</v>
      </c>
      <c r="S54" s="24" t="n">
        <f aca="false">S46-S47</f>
        <v>0</v>
      </c>
      <c r="T54" s="24" t="n">
        <f aca="false">T46-T47</f>
        <v>0</v>
      </c>
      <c r="U54" s="24" t="n">
        <f aca="false">U46-U47</f>
        <v>0</v>
      </c>
      <c r="V54" s="24" t="n">
        <f aca="false">V46-V47</f>
        <v>0</v>
      </c>
      <c r="W54" s="24" t="n">
        <f aca="false">W46-W47</f>
        <v>0</v>
      </c>
      <c r="X54" s="24" t="n">
        <f aca="false">X46-X47</f>
        <v>0</v>
      </c>
      <c r="Y54" s="24" t="n">
        <f aca="false">Y46-Y47</f>
        <v>0</v>
      </c>
      <c r="Z54" s="24" t="n">
        <f aca="false">Z46-Z47</f>
        <v>0</v>
      </c>
    </row>
    <row r="55" customFormat="false" ht="15" hidden="false" customHeight="false" outlineLevel="0" collapsed="false">
      <c r="B55" s="34" t="s">
        <v>228</v>
      </c>
      <c r="C55" s="46" t="n">
        <f aca="false">C54*C43</f>
        <v>0</v>
      </c>
      <c r="D55" s="46" t="n">
        <f aca="false">D54*D43</f>
        <v>0</v>
      </c>
      <c r="E55" s="46" t="n">
        <f aca="false">E54*E43</f>
        <v>0</v>
      </c>
      <c r="F55" s="46" t="n">
        <f aca="false">F54*F43</f>
        <v>0</v>
      </c>
      <c r="G55" s="46" t="n">
        <f aca="false">G54*G43</f>
        <v>0</v>
      </c>
      <c r="H55" s="46" t="n">
        <f aca="false">H54*H43</f>
        <v>0</v>
      </c>
      <c r="I55" s="46" t="n">
        <f aca="false">I54*I43</f>
        <v>0</v>
      </c>
      <c r="J55" s="46" t="n">
        <f aca="false">J54*J43</f>
        <v>0</v>
      </c>
      <c r="K55" s="46" t="n">
        <f aca="false">K54*K43</f>
        <v>0</v>
      </c>
      <c r="L55" s="46" t="n">
        <f aca="false">L54*L43</f>
        <v>0</v>
      </c>
      <c r="M55" s="46" t="n">
        <f aca="false">M54*M43</f>
        <v>0</v>
      </c>
      <c r="N55" s="46" t="n">
        <f aca="false">N54*N43</f>
        <v>0</v>
      </c>
      <c r="O55" s="46" t="n">
        <f aca="false">O54*O43</f>
        <v>0</v>
      </c>
      <c r="P55" s="46" t="n">
        <f aca="false">P54*P43</f>
        <v>0</v>
      </c>
      <c r="Q55" s="46" t="n">
        <f aca="false">Q54*Q43</f>
        <v>0</v>
      </c>
      <c r="R55" s="46" t="n">
        <f aca="false">R54*R43</f>
        <v>0</v>
      </c>
      <c r="S55" s="46" t="n">
        <f aca="false">S54*S43</f>
        <v>0</v>
      </c>
      <c r="T55" s="46" t="n">
        <f aca="false">T54*T43</f>
        <v>0</v>
      </c>
      <c r="U55" s="46" t="n">
        <f aca="false">U54*U43</f>
        <v>0</v>
      </c>
      <c r="V55" s="46" t="n">
        <f aca="false">V54*V43</f>
        <v>0</v>
      </c>
      <c r="W55" s="46" t="n">
        <f aca="false">W54*W43</f>
        <v>0</v>
      </c>
      <c r="X55" s="46" t="n">
        <f aca="false">X54*X43</f>
        <v>0</v>
      </c>
      <c r="Y55" s="46" t="n">
        <f aca="false">Y54*Y43</f>
        <v>0</v>
      </c>
      <c r="Z55" s="46" t="n">
        <f aca="false">Z54*Z43</f>
        <v>0</v>
      </c>
    </row>
    <row r="56" customFormat="false" ht="15" hidden="false" customHeight="false" outlineLevel="0" collapsed="false">
      <c r="B56" s="34" t="inlineStr">
        <is>
          <t>Planned benefit lost to cap ($)</t>
        </is>
      </c>
      <c r="C56" s="46" t="n">
        <f aca="false">IF(C47=0,0,C54/C47*C52)</f>
        <v>0</v>
      </c>
      <c r="D56" s="46" t="n">
        <f aca="false">IF(D47=0,0,D54/D47*D52)</f>
        <v>0</v>
      </c>
      <c r="E56" s="46" t="n">
        <f aca="false">IF(E47=0,0,E54/E47*E52)</f>
        <v>0</v>
      </c>
      <c r="F56" s="46" t="n">
        <f aca="false">IF(F47=0,0,F54/F47*F52)</f>
        <v>0</v>
      </c>
      <c r="G56" s="46" t="n">
        <f aca="false">IF(G47=0,0,G54/G47*G52)</f>
        <v>0</v>
      </c>
      <c r="H56" s="46" t="n">
        <f aca="false">IF(H47=0,0,H54/H47*H52)</f>
        <v>0</v>
      </c>
      <c r="I56" s="46" t="n">
        <f aca="false">IF(I47=0,0,I54/I47*I52)</f>
        <v>0</v>
      </c>
      <c r="J56" s="46" t="n">
        <f aca="false">IF(J47=0,0,J54/J47*J52)</f>
        <v>0</v>
      </c>
      <c r="K56" s="46" t="n">
        <f aca="false">IF(K47=0,0,K54/K47*K52)</f>
        <v>0</v>
      </c>
      <c r="L56" s="46" t="n">
        <f aca="false">IF(L47=0,0,L54/L47*L52)</f>
        <v>0</v>
      </c>
      <c r="M56" s="46" t="n">
        <f aca="false">IF(M47=0,0,M54/M47*M52)</f>
        <v>0</v>
      </c>
      <c r="N56" s="46" t="n">
        <f aca="false">IF(N47=0,0,N54/N47*N52)</f>
        <v>0</v>
      </c>
      <c r="O56" s="46" t="n">
        <f aca="false">IF(O47=0,0,O54/O47*O52)</f>
        <v>0</v>
      </c>
      <c r="P56" s="46" t="n">
        <f aca="false">IF(P47=0,0,P54/P47*P52)</f>
        <v>0</v>
      </c>
      <c r="Q56" s="46" t="n">
        <f aca="false">IF(Q47=0,0,Q54/Q47*Q52)</f>
        <v>0</v>
      </c>
      <c r="R56" s="46" t="n">
        <f aca="false">IF(R47=0,0,R54/R47*R52)</f>
        <v>0</v>
      </c>
      <c r="S56" s="46" t="n">
        <f aca="false">IF(S47=0,0,S54/S47*S52)</f>
        <v>0</v>
      </c>
      <c r="T56" s="46" t="n">
        <f aca="false">IF(T47=0,0,T54/T47*T52)</f>
        <v>0</v>
      </c>
      <c r="U56" s="46" t="n">
        <f aca="false">IF(U47=0,0,U54/U47*U52)</f>
        <v>0</v>
      </c>
      <c r="V56" s="46" t="n">
        <f aca="false">IF(V47=0,0,V54/V47*V52)</f>
        <v>0</v>
      </c>
      <c r="W56" s="46" t="n">
        <f aca="false">IF(W47=0,0,W54/W47*W52)</f>
        <v>0</v>
      </c>
      <c r="X56" s="46" t="n">
        <f aca="false">IF(X47=0,0,X54/X47*X52)</f>
        <v>0</v>
      </c>
      <c r="Y56" s="46" t="n">
        <f aca="false">IF(Y47=0,0,Y54/Y47*Y52)</f>
        <v>0</v>
      </c>
      <c r="Z56" s="46" t="n">
        <f aca="false">IF(Z47=0,0,Z54/Z47*Z52)</f>
        <v>0</v>
      </c>
    </row>
    <row r="58" customFormat="false" ht="15" hidden="false" customHeight="false" outlineLevel="0" collapsed="false">
      <c r="A58" s="50" t="str">
        <f aca="false">Workflows!A8</f>
        <v>Code change agent</v>
      </c>
      <c r="B58" s="34" t="s">
        <v>219</v>
      </c>
      <c r="C58" s="24" t="n">
        <f aca="false">Workflows!$D$8*MIN(1,Workflows!$E$8*Assumptions!$B$26)*MIN(1,C$4/MAX(1,Workflows!$F$8))</f>
        <v>53.3333333333333</v>
      </c>
      <c r="D58" s="24" t="n">
        <f aca="false">Workflows!$D$8*MIN(1,Workflows!$E$8*Assumptions!$B$26)*MIN(1,D$4/MAX(1,Workflows!$F$8))</f>
        <v>106.666666666667</v>
      </c>
      <c r="E58" s="24" t="n">
        <f aca="false">Workflows!$D$8*MIN(1,Workflows!$E$8*Assumptions!$B$26)*MIN(1,E$4/MAX(1,Workflows!$F$8))</f>
        <v>160</v>
      </c>
      <c r="F58" s="24" t="n">
        <f aca="false">Workflows!$D$8*MIN(1,Workflows!$E$8*Assumptions!$B$26)*MIN(1,F$4/MAX(1,Workflows!$F$8))</f>
        <v>160</v>
      </c>
      <c r="G58" s="24" t="n">
        <f aca="false">Workflows!$D$8*MIN(1,Workflows!$E$8*Assumptions!$B$26)*MIN(1,G$4/MAX(1,Workflows!$F$8))</f>
        <v>160</v>
      </c>
      <c r="H58" s="24" t="n">
        <f aca="false">Workflows!$D$8*MIN(1,Workflows!$E$8*Assumptions!$B$26)*MIN(1,H$4/MAX(1,Workflows!$F$8))</f>
        <v>160</v>
      </c>
      <c r="I58" s="24" t="n">
        <f aca="false">Workflows!$D$8*MIN(1,Workflows!$E$8*Assumptions!$B$26)*MIN(1,I$4/MAX(1,Workflows!$F$8))</f>
        <v>160</v>
      </c>
      <c r="J58" s="24" t="n">
        <f aca="false">Workflows!$D$8*MIN(1,Workflows!$E$8*Assumptions!$B$26)*MIN(1,J$4/MAX(1,Workflows!$F$8))</f>
        <v>160</v>
      </c>
      <c r="K58" s="24" t="n">
        <f aca="false">Workflows!$D$8*MIN(1,Workflows!$E$8*Assumptions!$B$26)*MIN(1,K$4/MAX(1,Workflows!$F$8))</f>
        <v>160</v>
      </c>
      <c r="L58" s="24" t="n">
        <f aca="false">Workflows!$D$8*MIN(1,Workflows!$E$8*Assumptions!$B$26)*MIN(1,L$4/MAX(1,Workflows!$F$8))</f>
        <v>160</v>
      </c>
      <c r="M58" s="24" t="n">
        <f aca="false">Workflows!$D$8*MIN(1,Workflows!$E$8*Assumptions!$B$26)*MIN(1,M$4/MAX(1,Workflows!$F$8))</f>
        <v>160</v>
      </c>
      <c r="N58" s="24" t="n">
        <f aca="false">Workflows!$D$8*MIN(1,Workflows!$E$8*Assumptions!$B$26)*MIN(1,N$4/MAX(1,Workflows!$F$8))</f>
        <v>160</v>
      </c>
      <c r="O58" s="24" t="n">
        <f aca="false">Workflows!$D$8*MIN(1,Workflows!$E$8*Assumptions!$B$26)*MIN(1,O$4/MAX(1,Workflows!$F$8))</f>
        <v>160</v>
      </c>
      <c r="P58" s="24" t="n">
        <f aca="false">Workflows!$D$8*MIN(1,Workflows!$E$8*Assumptions!$B$26)*MIN(1,P$4/MAX(1,Workflows!$F$8))</f>
        <v>160</v>
      </c>
      <c r="Q58" s="24" t="n">
        <f aca="false">Workflows!$D$8*MIN(1,Workflows!$E$8*Assumptions!$B$26)*MIN(1,Q$4/MAX(1,Workflows!$F$8))</f>
        <v>160</v>
      </c>
      <c r="R58" s="24" t="n">
        <f aca="false">Workflows!$D$8*MIN(1,Workflows!$E$8*Assumptions!$B$26)*MIN(1,R$4/MAX(1,Workflows!$F$8))</f>
        <v>160</v>
      </c>
      <c r="S58" s="24" t="n">
        <f aca="false">Workflows!$D$8*MIN(1,Workflows!$E$8*Assumptions!$B$26)*MIN(1,S$4/MAX(1,Workflows!$F$8))</f>
        <v>160</v>
      </c>
      <c r="T58" s="24" t="n">
        <f aca="false">Workflows!$D$8*MIN(1,Workflows!$E$8*Assumptions!$B$26)*MIN(1,T$4/MAX(1,Workflows!$F$8))</f>
        <v>160</v>
      </c>
      <c r="U58" s="24" t="n">
        <f aca="false">Workflows!$D$8*MIN(1,Workflows!$E$8*Assumptions!$B$26)*MIN(1,U$4/MAX(1,Workflows!$F$8))</f>
        <v>160</v>
      </c>
      <c r="V58" s="24" t="n">
        <f aca="false">Workflows!$D$8*MIN(1,Workflows!$E$8*Assumptions!$B$26)*MIN(1,V$4/MAX(1,Workflows!$F$8))</f>
        <v>160</v>
      </c>
      <c r="W58" s="24" t="n">
        <f aca="false">Workflows!$D$8*MIN(1,Workflows!$E$8*Assumptions!$B$26)*MIN(1,W$4/MAX(1,Workflows!$F$8))</f>
        <v>160</v>
      </c>
      <c r="X58" s="24" t="n">
        <f aca="false">Workflows!$D$8*MIN(1,Workflows!$E$8*Assumptions!$B$26)*MIN(1,X$4/MAX(1,Workflows!$F$8))</f>
        <v>160</v>
      </c>
      <c r="Y58" s="24" t="n">
        <f aca="false">Workflows!$D$8*MIN(1,Workflows!$E$8*Assumptions!$B$26)*MIN(1,Y$4/MAX(1,Workflows!$F$8))</f>
        <v>160</v>
      </c>
      <c r="Z58" s="24" t="n">
        <f aca="false">Workflows!$D$8*MIN(1,Workflows!$E$8*Assumptions!$B$26)*MIN(1,Z$4/MAX(1,Workflows!$F$8))</f>
        <v>160</v>
      </c>
    </row>
    <row r="59" customFormat="false" ht="15" hidden="false" customHeight="false" outlineLevel="0" collapsed="false">
      <c r="A59" s="51" t="str">
        <f aca="false">Workflows!B8</f>
        <v>Software engineer</v>
      </c>
      <c r="B59" s="34" t="s">
        <v>220</v>
      </c>
      <c r="C59" s="24" t="n">
        <f aca="false">Workflows!$G$8*Assumptions!$B$5*Assumptions!$B$27</f>
        <v>126</v>
      </c>
      <c r="D59" s="24" t="n">
        <f aca="false">Workflows!$G$8*Assumptions!$B$5*Assumptions!$B$27</f>
        <v>126</v>
      </c>
      <c r="E59" s="24" t="n">
        <f aca="false">Workflows!$G$8*Assumptions!$B$5*Assumptions!$B$27</f>
        <v>126</v>
      </c>
      <c r="F59" s="24" t="n">
        <f aca="false">Workflows!$G$8*Assumptions!$B$5*Assumptions!$B$27</f>
        <v>126</v>
      </c>
      <c r="G59" s="24" t="n">
        <f aca="false">Workflows!$G$8*Assumptions!$B$5*Assumptions!$B$27</f>
        <v>126</v>
      </c>
      <c r="H59" s="24" t="n">
        <f aca="false">Workflows!$G$8*Assumptions!$B$5*Assumptions!$B$27</f>
        <v>126</v>
      </c>
      <c r="I59" s="24" t="n">
        <f aca="false">Workflows!$G$8*Assumptions!$B$5*Assumptions!$B$27</f>
        <v>126</v>
      </c>
      <c r="J59" s="24" t="n">
        <f aca="false">Workflows!$G$8*Assumptions!$B$5*Assumptions!$B$27</f>
        <v>126</v>
      </c>
      <c r="K59" s="24" t="n">
        <f aca="false">Workflows!$G$8*Assumptions!$B$5*Assumptions!$B$27</f>
        <v>126</v>
      </c>
      <c r="L59" s="24" t="n">
        <f aca="false">Workflows!$G$8*Assumptions!$B$5*Assumptions!$B$27</f>
        <v>126</v>
      </c>
      <c r="M59" s="24" t="n">
        <f aca="false">Workflows!$G$8*Assumptions!$B$5*Assumptions!$B$27</f>
        <v>126</v>
      </c>
      <c r="N59" s="24" t="n">
        <f aca="false">Workflows!$G$8*Assumptions!$B$5*Assumptions!$B$27</f>
        <v>126</v>
      </c>
      <c r="O59" s="24" t="n">
        <f aca="false">Workflows!$G$8*Assumptions!$B$5*Assumptions!$B$27</f>
        <v>126</v>
      </c>
      <c r="P59" s="24" t="n">
        <f aca="false">Workflows!$G$8*Assumptions!$B$5*Assumptions!$B$27</f>
        <v>126</v>
      </c>
      <c r="Q59" s="24" t="n">
        <f aca="false">Workflows!$G$8*Assumptions!$B$5*Assumptions!$B$27</f>
        <v>126</v>
      </c>
      <c r="R59" s="24" t="n">
        <f aca="false">Workflows!$G$8*Assumptions!$B$5*Assumptions!$B$27</f>
        <v>126</v>
      </c>
      <c r="S59" s="24" t="n">
        <f aca="false">Workflows!$G$8*Assumptions!$B$5*Assumptions!$B$27</f>
        <v>126</v>
      </c>
      <c r="T59" s="24" t="n">
        <f aca="false">Workflows!$G$8*Assumptions!$B$5*Assumptions!$B$27</f>
        <v>126</v>
      </c>
      <c r="U59" s="24" t="n">
        <f aca="false">Workflows!$G$8*Assumptions!$B$5*Assumptions!$B$27</f>
        <v>126</v>
      </c>
      <c r="V59" s="24" t="n">
        <f aca="false">Workflows!$G$8*Assumptions!$B$5*Assumptions!$B$27</f>
        <v>126</v>
      </c>
      <c r="W59" s="24" t="n">
        <f aca="false">Workflows!$G$8*Assumptions!$B$5*Assumptions!$B$27</f>
        <v>126</v>
      </c>
      <c r="X59" s="24" t="n">
        <f aca="false">Workflows!$G$8*Assumptions!$B$5*Assumptions!$B$27</f>
        <v>126</v>
      </c>
      <c r="Y59" s="24" t="n">
        <f aca="false">Workflows!$G$8*Assumptions!$B$5*Assumptions!$B$27</f>
        <v>126</v>
      </c>
      <c r="Z59" s="24" t="n">
        <f aca="false">Workflows!$G$8*Assumptions!$B$5*Assumptions!$B$27</f>
        <v>126</v>
      </c>
    </row>
    <row r="60" customFormat="false" ht="15" hidden="false" customHeight="false" outlineLevel="0" collapsed="false">
      <c r="B60" s="34" t="s">
        <v>170</v>
      </c>
      <c r="C60" s="45" t="n">
        <f aca="false">Workflows!$Z$8*Assumptions!$B$28*C$5</f>
        <v>8.047125</v>
      </c>
      <c r="D60" s="45" t="n">
        <f aca="false">Workflows!$Z$8*Assumptions!$B$28*D$5</f>
        <v>7.89886903296031</v>
      </c>
      <c r="E60" s="45" t="n">
        <f aca="false">Workflows!$Z$8*Assumptions!$B$28*E$5</f>
        <v>7.75334445530042</v>
      </c>
      <c r="F60" s="45" t="n">
        <f aca="false">Workflows!$Z$8*Assumptions!$B$28*F$5</f>
        <v>7.61050094534968</v>
      </c>
      <c r="G60" s="45" t="n">
        <f aca="false">Workflows!$Z$8*Assumptions!$B$28*G$5</f>
        <v>7.47028910853725</v>
      </c>
      <c r="H60" s="45" t="n">
        <f aca="false">Workflows!$Z$8*Assumptions!$B$28*H$5</f>
        <v>7.33266046031167</v>
      </c>
      <c r="I60" s="45" t="n">
        <f aca="false">Workflows!$Z$8*Assumptions!$B$28*I$5</f>
        <v>7.1975674093752</v>
      </c>
      <c r="J60" s="45" t="n">
        <f aca="false">Workflows!$Z$8*Assumptions!$B$28*J$5</f>
        <v>7.06496324122692</v>
      </c>
      <c r="K60" s="45" t="n">
        <f aca="false">Workflows!$Z$8*Assumptions!$B$28*K$5</f>
        <v>6.93480210200913</v>
      </c>
      <c r="L60" s="45" t="n">
        <f aca="false">Workflows!$Z$8*Assumptions!$B$28*L$5</f>
        <v>6.80703898265132</v>
      </c>
      <c r="M60" s="45" t="n">
        <f aca="false">Workflows!$Z$8*Assumptions!$B$28*M$5</f>
        <v>6.68162970330624</v>
      </c>
      <c r="N60" s="45" t="n">
        <f aca="false">Workflows!$Z$8*Assumptions!$B$28*N$5</f>
        <v>6.55853089807272</v>
      </c>
      <c r="O60" s="45" t="n">
        <f aca="false">Workflows!$Z$8*Assumptions!$B$28*O$5</f>
        <v>6.4377</v>
      </c>
      <c r="P60" s="45" t="n">
        <f aca="false">Workflows!$Z$8*Assumptions!$B$28*P$5</f>
        <v>6.31909522636825</v>
      </c>
      <c r="Q60" s="45" t="n">
        <f aca="false">Workflows!$Z$8*Assumptions!$B$28*Q$5</f>
        <v>6.20267556424034</v>
      </c>
      <c r="R60" s="45" t="n">
        <f aca="false">Workflows!$Z$8*Assumptions!$B$28*R$5</f>
        <v>6.08840075627975</v>
      </c>
      <c r="S60" s="45" t="n">
        <f aca="false">Workflows!$Z$8*Assumptions!$B$28*S$5</f>
        <v>5.9762312868298</v>
      </c>
      <c r="T60" s="45" t="n">
        <f aca="false">Workflows!$Z$8*Assumptions!$B$28*T$5</f>
        <v>5.86612836824934</v>
      </c>
      <c r="U60" s="45" t="n">
        <f aca="false">Workflows!$Z$8*Assumptions!$B$28*U$5</f>
        <v>5.75805392750016</v>
      </c>
      <c r="V60" s="45" t="n">
        <f aca="false">Workflows!$Z$8*Assumptions!$B$28*V$5</f>
        <v>5.65197059298153</v>
      </c>
      <c r="W60" s="45" t="n">
        <f aca="false">Workflows!$Z$8*Assumptions!$B$28*W$5</f>
        <v>5.5478416816073</v>
      </c>
      <c r="X60" s="45" t="n">
        <f aca="false">Workflows!$Z$8*Assumptions!$B$28*X$5</f>
        <v>5.44563118612106</v>
      </c>
      <c r="Y60" s="45" t="n">
        <f aca="false">Workflows!$Z$8*Assumptions!$B$28*Y$5</f>
        <v>5.34530376264499</v>
      </c>
      <c r="Z60" s="45" t="n">
        <f aca="false">Workflows!$Z$8*Assumptions!$B$28*Z$5</f>
        <v>5.24682471845818</v>
      </c>
    </row>
    <row r="61" customFormat="false" ht="15" hidden="false" customHeight="false" outlineLevel="0" collapsed="false">
      <c r="B61" s="34" t="s">
        <v>221</v>
      </c>
      <c r="C61" s="46" t="n">
        <f aca="false">MIN(C59*C60,Workflows!$O$8)</f>
        <v>600</v>
      </c>
      <c r="D61" s="46" t="n">
        <f aca="false">MIN(D59*D60,Workflows!$O$8)</f>
        <v>600</v>
      </c>
      <c r="E61" s="46" t="n">
        <f aca="false">MIN(E59*E60,Workflows!$O$8)</f>
        <v>600</v>
      </c>
      <c r="F61" s="46" t="n">
        <f aca="false">MIN(F59*F60,Workflows!$O$8)</f>
        <v>600</v>
      </c>
      <c r="G61" s="46" t="n">
        <f aca="false">MIN(G59*G60,Workflows!$O$8)</f>
        <v>600</v>
      </c>
      <c r="H61" s="46" t="n">
        <f aca="false">MIN(H59*H60,Workflows!$O$8)</f>
        <v>600</v>
      </c>
      <c r="I61" s="46" t="n">
        <f aca="false">MIN(I59*I60,Workflows!$O$8)</f>
        <v>600</v>
      </c>
      <c r="J61" s="46" t="n">
        <f aca="false">MIN(J59*J60,Workflows!$O$8)</f>
        <v>600</v>
      </c>
      <c r="K61" s="46" t="n">
        <f aca="false">MIN(K59*K60,Workflows!$O$8)</f>
        <v>600</v>
      </c>
      <c r="L61" s="46" t="n">
        <f aca="false">MIN(L59*L60,Workflows!$O$8)</f>
        <v>600</v>
      </c>
      <c r="M61" s="46" t="n">
        <f aca="false">MIN(M59*M60,Workflows!$O$8)</f>
        <v>600</v>
      </c>
      <c r="N61" s="46" t="n">
        <f aca="false">MIN(N59*N60,Workflows!$O$8)</f>
        <v>600</v>
      </c>
      <c r="O61" s="46" t="n">
        <f aca="false">MIN(O59*O60,Workflows!$O$8)</f>
        <v>600</v>
      </c>
      <c r="P61" s="46" t="n">
        <f aca="false">MIN(P59*P60,Workflows!$O$8)</f>
        <v>600</v>
      </c>
      <c r="Q61" s="46" t="n">
        <f aca="false">MIN(Q59*Q60,Workflows!$O$8)</f>
        <v>600</v>
      </c>
      <c r="R61" s="46" t="n">
        <f aca="false">MIN(R59*R60,Workflows!$O$8)</f>
        <v>600</v>
      </c>
      <c r="S61" s="46" t="n">
        <f aca="false">MIN(S59*S60,Workflows!$O$8)</f>
        <v>600</v>
      </c>
      <c r="T61" s="46" t="n">
        <f aca="false">MIN(T59*T60,Workflows!$O$8)</f>
        <v>600</v>
      </c>
      <c r="U61" s="46" t="n">
        <f aca="false">MIN(U59*U60,Workflows!$O$8)</f>
        <v>600</v>
      </c>
      <c r="V61" s="46" t="n">
        <f aca="false">MIN(V59*V60,Workflows!$O$8)</f>
        <v>600</v>
      </c>
      <c r="W61" s="46" t="n">
        <f aca="false">MIN(W59*W60,Workflows!$O$8)</f>
        <v>600</v>
      </c>
      <c r="X61" s="46" t="n">
        <f aca="false">MIN(X59*X60,Workflows!$O$8)</f>
        <v>600</v>
      </c>
      <c r="Y61" s="46" t="n">
        <f aca="false">MIN(Y59*Y60,Workflows!$O$8)</f>
        <v>600</v>
      </c>
      <c r="Z61" s="46" t="n">
        <f aca="false">MIN(Z59*Z60,Workflows!$O$8)</f>
        <v>600</v>
      </c>
    </row>
    <row r="62" customFormat="false" ht="15" hidden="false" customHeight="false" outlineLevel="0" collapsed="false">
      <c r="B62" s="34" t="s">
        <v>222</v>
      </c>
      <c r="C62" s="36" t="n">
        <f aca="false">IF(C59*C60=0,1,MIN(1,Workflows!$O$8/(C59*C60)))</f>
        <v>0.591752304320458</v>
      </c>
      <c r="D62" s="36" t="n">
        <f aca="false">IF(D59*D60=0,1,MIN(1,Workflows!$O$8/(D59*D60)))</f>
        <v>0.60285906020651</v>
      </c>
      <c r="E62" s="36" t="n">
        <f aca="false">IF(E59*E60=0,1,MIN(1,Workflows!$O$8/(E59*E60)))</f>
        <v>0.614174281738428</v>
      </c>
      <c r="F62" s="36" t="n">
        <f aca="false">IF(F59*F60=0,1,MIN(1,Workflows!$O$8/(F59*F60)))</f>
        <v>0.625701881663187</v>
      </c>
      <c r="G62" s="36" t="n">
        <f aca="false">IF(G59*G60=0,1,MIN(1,Workflows!$O$8/(G59*G60)))</f>
        <v>0.637445846167149</v>
      </c>
      <c r="H62" s="36" t="n">
        <f aca="false">IF(H59*H60=0,1,MIN(1,Workflows!$O$8/(H59*H60)))</f>
        <v>0.649410236254463</v>
      </c>
      <c r="I62" s="36" t="n">
        <f aca="false">IF(I59*I60=0,1,MIN(1,Workflows!$O$8/(I59*I60)))</f>
        <v>0.661599189151343</v>
      </c>
      <c r="J62" s="36" t="n">
        <f aca="false">IF(J59*J60=0,1,MIN(1,Workflows!$O$8/(J59*J60)))</f>
        <v>0.674016919736698</v>
      </c>
      <c r="K62" s="36" t="n">
        <f aca="false">IF(K59*K60=0,1,MIN(1,Workflows!$O$8/(K59*K60)))</f>
        <v>0.686667721999617</v>
      </c>
      <c r="L62" s="36" t="n">
        <f aca="false">IF(L59*L60=0,1,MIN(1,Workflows!$O$8/(L59*L60)))</f>
        <v>0.699555970524208</v>
      </c>
      <c r="M62" s="36" t="n">
        <f aca="false">IF(M59*M60=0,1,MIN(1,Workflows!$O$8/(M59*M60)))</f>
        <v>0.712686122002309</v>
      </c>
      <c r="N62" s="36" t="n">
        <f aca="false">IF(N59*N60=0,1,MIN(1,Workflows!$O$8/(N59*N60)))</f>
        <v>0.726062716774589</v>
      </c>
      <c r="O62" s="36" t="n">
        <f aca="false">IF(O59*O60=0,1,MIN(1,Workflows!$O$8/(O59*O60)))</f>
        <v>0.739690380400572</v>
      </c>
      <c r="P62" s="36" t="n">
        <f aca="false">IF(P59*P60=0,1,MIN(1,Workflows!$O$8/(P59*P60)))</f>
        <v>0.753573825258138</v>
      </c>
      <c r="Q62" s="36" t="n">
        <f aca="false">IF(Q59*Q60=0,1,MIN(1,Workflows!$O$8/(Q59*Q60)))</f>
        <v>0.767717852173035</v>
      </c>
      <c r="R62" s="36" t="n">
        <f aca="false">IF(R59*R60=0,1,MIN(1,Workflows!$O$8/(R59*R60)))</f>
        <v>0.782127352078984</v>
      </c>
      <c r="S62" s="36" t="n">
        <f aca="false">IF(S59*S60=0,1,MIN(1,Workflows!$O$8/(S59*S60)))</f>
        <v>0.796807307708936</v>
      </c>
      <c r="T62" s="36" t="n">
        <f aca="false">IF(T59*T60=0,1,MIN(1,Workflows!$O$8/(T59*T60)))</f>
        <v>0.811762795318079</v>
      </c>
      <c r="U62" s="36" t="n">
        <f aca="false">IF(U59*U60=0,1,MIN(1,Workflows!$O$8/(U59*U60)))</f>
        <v>0.826998986439179</v>
      </c>
      <c r="V62" s="36" t="n">
        <f aca="false">IF(V59*V60=0,1,MIN(1,Workflows!$O$8/(V59*V60)))</f>
        <v>0.842521149670872</v>
      </c>
      <c r="W62" s="36" t="n">
        <f aca="false">IF(W59*W60=0,1,MIN(1,Workflows!$O$8/(W59*W60)))</f>
        <v>0.858334652499521</v>
      </c>
      <c r="X62" s="36" t="n">
        <f aca="false">IF(X59*X60=0,1,MIN(1,Workflows!$O$8/(X59*X60)))</f>
        <v>0.87444496315526</v>
      </c>
      <c r="Y62" s="36" t="n">
        <f aca="false">IF(Y59*Y60=0,1,MIN(1,Workflows!$O$8/(Y59*Y60)))</f>
        <v>0.890857652502887</v>
      </c>
      <c r="Z62" s="36" t="n">
        <f aca="false">IF(Z59*Z60=0,1,MIN(1,Workflows!$O$8/(Z59*Z60)))</f>
        <v>0.907578395968236</v>
      </c>
    </row>
    <row r="63" customFormat="false" ht="15" hidden="false" customHeight="false" outlineLevel="0" collapsed="false">
      <c r="B63" s="34" t="s">
        <v>223</v>
      </c>
      <c r="C63" s="24" t="n">
        <f aca="false">C58*C59</f>
        <v>6720</v>
      </c>
      <c r="D63" s="24" t="n">
        <f aca="false">D58*D59</f>
        <v>13440</v>
      </c>
      <c r="E63" s="24" t="n">
        <f aca="false">E58*E59</f>
        <v>20160</v>
      </c>
      <c r="F63" s="24" t="n">
        <f aca="false">F58*F59</f>
        <v>20160</v>
      </c>
      <c r="G63" s="24" t="n">
        <f aca="false">G58*G59</f>
        <v>20160</v>
      </c>
      <c r="H63" s="24" t="n">
        <f aca="false">H58*H59</f>
        <v>20160</v>
      </c>
      <c r="I63" s="24" t="n">
        <f aca="false">I58*I59</f>
        <v>20160</v>
      </c>
      <c r="J63" s="24" t="n">
        <f aca="false">J58*J59</f>
        <v>20160</v>
      </c>
      <c r="K63" s="24" t="n">
        <f aca="false">K58*K59</f>
        <v>20160</v>
      </c>
      <c r="L63" s="24" t="n">
        <f aca="false">L58*L59</f>
        <v>20160</v>
      </c>
      <c r="M63" s="24" t="n">
        <f aca="false">M58*M59</f>
        <v>20160</v>
      </c>
      <c r="N63" s="24" t="n">
        <f aca="false">N58*N59</f>
        <v>20160</v>
      </c>
      <c r="O63" s="24" t="n">
        <f aca="false">O58*O59</f>
        <v>20160</v>
      </c>
      <c r="P63" s="24" t="n">
        <f aca="false">P58*P59</f>
        <v>20160</v>
      </c>
      <c r="Q63" s="24" t="n">
        <f aca="false">Q58*Q59</f>
        <v>20160</v>
      </c>
      <c r="R63" s="24" t="n">
        <f aca="false">R58*R59</f>
        <v>20160</v>
      </c>
      <c r="S63" s="24" t="n">
        <f aca="false">S58*S59</f>
        <v>20160</v>
      </c>
      <c r="T63" s="24" t="n">
        <f aca="false">T58*T59</f>
        <v>20160</v>
      </c>
      <c r="U63" s="24" t="n">
        <f aca="false">U58*U59</f>
        <v>20160</v>
      </c>
      <c r="V63" s="24" t="n">
        <f aca="false">V58*V59</f>
        <v>20160</v>
      </c>
      <c r="W63" s="24" t="n">
        <f aca="false">W58*W59</f>
        <v>20160</v>
      </c>
      <c r="X63" s="24" t="n">
        <f aca="false">X58*X59</f>
        <v>20160</v>
      </c>
      <c r="Y63" s="24" t="n">
        <f aca="false">Y58*Y59</f>
        <v>20160</v>
      </c>
      <c r="Z63" s="24" t="n">
        <f aca="false">Z58*Z59</f>
        <v>20160</v>
      </c>
    </row>
    <row r="64" customFormat="false" ht="15" hidden="false" customHeight="false" outlineLevel="0" collapsed="false">
      <c r="B64" s="34" t="s">
        <v>88</v>
      </c>
      <c r="C64" s="24" t="n">
        <f aca="false">C63*C62</f>
        <v>3976.57548503347</v>
      </c>
      <c r="D64" s="24" t="n">
        <f aca="false">D63*D62</f>
        <v>8102.4257691755</v>
      </c>
      <c r="E64" s="24" t="n">
        <f aca="false">E63*E62</f>
        <v>12381.7535198467</v>
      </c>
      <c r="F64" s="24" t="n">
        <f aca="false">F63*F62</f>
        <v>12614.1499343299</v>
      </c>
      <c r="G64" s="24" t="n">
        <f aca="false">G63*G62</f>
        <v>12850.9082587297</v>
      </c>
      <c r="H64" s="24" t="n">
        <f aca="false">H63*H62</f>
        <v>13092.11036289</v>
      </c>
      <c r="I64" s="24" t="n">
        <f aca="false">I63*I62</f>
        <v>13337.8396532911</v>
      </c>
      <c r="J64" s="24" t="n">
        <f aca="false">J63*J62</f>
        <v>13588.1811018918</v>
      </c>
      <c r="K64" s="24" t="n">
        <f aca="false">K63*K62</f>
        <v>13843.2212755123</v>
      </c>
      <c r="L64" s="24" t="n">
        <f aca="false">L63*L62</f>
        <v>14103.048365768</v>
      </c>
      <c r="M64" s="24" t="n">
        <f aca="false">M63*M62</f>
        <v>14367.7522195666</v>
      </c>
      <c r="N64" s="24" t="n">
        <f aca="false">N63*N62</f>
        <v>14637.4243701757</v>
      </c>
      <c r="O64" s="24" t="n">
        <f aca="false">O63*O62</f>
        <v>14912.1580688755</v>
      </c>
      <c r="P64" s="24" t="n">
        <f aca="false">P63*P62</f>
        <v>15192.0483172041</v>
      </c>
      <c r="Q64" s="24" t="n">
        <f aca="false">Q63*Q62</f>
        <v>15477.1918998084</v>
      </c>
      <c r="R64" s="24" t="n">
        <f aca="false">R63*R62</f>
        <v>15767.6874179123</v>
      </c>
      <c r="S64" s="24" t="n">
        <f aca="false">S63*S62</f>
        <v>16063.6353234122</v>
      </c>
      <c r="T64" s="24" t="n">
        <f aca="false">T63*T62</f>
        <v>16365.1379536125</v>
      </c>
      <c r="U64" s="24" t="n">
        <f aca="false">U63*U62</f>
        <v>16672.2995666138</v>
      </c>
      <c r="V64" s="24" t="n">
        <f aca="false">V63*V62</f>
        <v>16985.2263773648</v>
      </c>
      <c r="W64" s="24" t="n">
        <f aca="false">W63*W62</f>
        <v>17304.0265943903</v>
      </c>
      <c r="X64" s="24" t="n">
        <f aca="false">X63*X62</f>
        <v>17628.81045721</v>
      </c>
      <c r="Y64" s="24" t="n">
        <f aca="false">Y63*Y62</f>
        <v>17959.6902744582</v>
      </c>
      <c r="Z64" s="24" t="n">
        <f aca="false">Z63*Z62</f>
        <v>18296.7804627196</v>
      </c>
    </row>
    <row r="65" customFormat="false" ht="15" hidden="false" customHeight="false" outlineLevel="0" collapsed="false">
      <c r="B65" s="34" t="s">
        <v>224</v>
      </c>
      <c r="C65" s="24" t="n">
        <f aca="false">C64*MIN(1,Workflows!$P$8*Assumptions!$B$30)</f>
        <v>2584.77406527176</v>
      </c>
      <c r="D65" s="24" t="n">
        <f aca="false">D64*MIN(1,Workflows!$P$8*Assumptions!$B$30)</f>
        <v>5266.57674996407</v>
      </c>
      <c r="E65" s="24" t="n">
        <f aca="false">E64*MIN(1,Workflows!$P$8*Assumptions!$B$30)</f>
        <v>8048.13978790037</v>
      </c>
      <c r="F65" s="24" t="n">
        <f aca="false">F64*MIN(1,Workflows!$P$8*Assumptions!$B$30)</f>
        <v>8199.19745731441</v>
      </c>
      <c r="G65" s="24" t="n">
        <f aca="false">G64*MIN(1,Workflows!$P$8*Assumptions!$B$30)</f>
        <v>8353.09036817432</v>
      </c>
      <c r="H65" s="24" t="n">
        <f aca="false">H64*MIN(1,Workflows!$P$8*Assumptions!$B$30)</f>
        <v>8509.87173587848</v>
      </c>
      <c r="I65" s="24" t="n">
        <f aca="false">I64*MIN(1,Workflows!$P$8*Assumptions!$B$30)</f>
        <v>8669.5957746392</v>
      </c>
      <c r="J65" s="24" t="n">
        <f aca="false">J64*MIN(1,Workflows!$P$8*Assumptions!$B$30)</f>
        <v>8832.31771622969</v>
      </c>
      <c r="K65" s="24" t="n">
        <f aca="false">K64*MIN(1,Workflows!$P$8*Assumptions!$B$30)</f>
        <v>8998.09382908298</v>
      </c>
      <c r="L65" s="24" t="n">
        <f aca="false">L64*MIN(1,Workflows!$P$8*Assumptions!$B$30)</f>
        <v>9166.98143774922</v>
      </c>
      <c r="M65" s="24" t="n">
        <f aca="false">M64*MIN(1,Workflows!$P$8*Assumptions!$B$30)</f>
        <v>9339.03894271826</v>
      </c>
      <c r="N65" s="24" t="n">
        <f aca="false">N64*MIN(1,Workflows!$P$8*Assumptions!$B$30)</f>
        <v>9514.32584061421</v>
      </c>
      <c r="O65" s="24" t="n">
        <f aca="false">O64*MIN(1,Workflows!$P$8*Assumptions!$B$30)</f>
        <v>9692.9027447691</v>
      </c>
      <c r="P65" s="24" t="n">
        <f aca="false">P64*MIN(1,Workflows!$P$8*Assumptions!$B$30)</f>
        <v>9874.83140618264</v>
      </c>
      <c r="Q65" s="24" t="n">
        <f aca="false">Q64*MIN(1,Workflows!$P$8*Assumptions!$B$30)</f>
        <v>10060.1747348755</v>
      </c>
      <c r="R65" s="24" t="n">
        <f aca="false">R64*MIN(1,Workflows!$P$8*Assumptions!$B$30)</f>
        <v>10248.996821643</v>
      </c>
      <c r="S65" s="24" t="n">
        <f aca="false">S64*MIN(1,Workflows!$P$8*Assumptions!$B$30)</f>
        <v>10441.3629602179</v>
      </c>
      <c r="T65" s="24" t="n">
        <f aca="false">T64*MIN(1,Workflows!$P$8*Assumptions!$B$30)</f>
        <v>10637.3396698481</v>
      </c>
      <c r="U65" s="24" t="n">
        <f aca="false">U64*MIN(1,Workflows!$P$8*Assumptions!$B$30)</f>
        <v>10836.994718299</v>
      </c>
      <c r="V65" s="24" t="n">
        <f aca="false">V64*MIN(1,Workflows!$P$8*Assumptions!$B$30)</f>
        <v>11040.3971452871</v>
      </c>
      <c r="W65" s="24" t="n">
        <f aca="false">W64*MIN(1,Workflows!$P$8*Assumptions!$B$30)</f>
        <v>11247.6172863537</v>
      </c>
      <c r="X65" s="24" t="n">
        <f aca="false">X64*MIN(1,Workflows!$P$8*Assumptions!$B$30)</f>
        <v>11458.7267971865</v>
      </c>
      <c r="Y65" s="24" t="n">
        <f aca="false">Y64*MIN(1,Workflows!$P$8*Assumptions!$B$30)</f>
        <v>11673.7986783978</v>
      </c>
      <c r="Z65" s="24" t="n">
        <f aca="false">Z64*MIN(1,Workflows!$P$8*Assumptions!$B$30)</f>
        <v>11892.9073007678</v>
      </c>
    </row>
    <row r="66" customFormat="false" ht="15" hidden="false" customHeight="false" outlineLevel="0" collapsed="false">
      <c r="B66" s="34" t="s">
        <v>225</v>
      </c>
      <c r="C66" s="46" t="n">
        <f aca="false">C58*C61</f>
        <v>32000</v>
      </c>
      <c r="D66" s="46" t="n">
        <f aca="false">D58*D61</f>
        <v>64000</v>
      </c>
      <c r="E66" s="46" t="n">
        <f aca="false">E58*E61</f>
        <v>96000</v>
      </c>
      <c r="F66" s="46" t="n">
        <f aca="false">F58*F61</f>
        <v>96000</v>
      </c>
      <c r="G66" s="46" t="n">
        <f aca="false">G58*G61</f>
        <v>96000</v>
      </c>
      <c r="H66" s="46" t="n">
        <f aca="false">H58*H61</f>
        <v>96000</v>
      </c>
      <c r="I66" s="46" t="n">
        <f aca="false">I58*I61</f>
        <v>96000</v>
      </c>
      <c r="J66" s="46" t="n">
        <f aca="false">J58*J61</f>
        <v>96000</v>
      </c>
      <c r="K66" s="46" t="n">
        <f aca="false">K58*K61</f>
        <v>96000</v>
      </c>
      <c r="L66" s="46" t="n">
        <f aca="false">L58*L61</f>
        <v>96000</v>
      </c>
      <c r="M66" s="46" t="n">
        <f aca="false">M58*M61</f>
        <v>96000</v>
      </c>
      <c r="N66" s="46" t="n">
        <f aca="false">N58*N61</f>
        <v>96000</v>
      </c>
      <c r="O66" s="46" t="n">
        <f aca="false">O58*O61</f>
        <v>96000</v>
      </c>
      <c r="P66" s="46" t="n">
        <f aca="false">P58*P61</f>
        <v>96000</v>
      </c>
      <c r="Q66" s="46" t="n">
        <f aca="false">Q58*Q61</f>
        <v>96000</v>
      </c>
      <c r="R66" s="46" t="n">
        <f aca="false">R58*R61</f>
        <v>96000</v>
      </c>
      <c r="S66" s="46" t="n">
        <f aca="false">S58*S61</f>
        <v>96000</v>
      </c>
      <c r="T66" s="46" t="n">
        <f aca="false">T58*T61</f>
        <v>96000</v>
      </c>
      <c r="U66" s="46" t="n">
        <f aca="false">U58*U61</f>
        <v>96000</v>
      </c>
      <c r="V66" s="46" t="n">
        <f aca="false">V58*V61</f>
        <v>96000</v>
      </c>
      <c r="W66" s="46" t="n">
        <f aca="false">W58*W61</f>
        <v>96000</v>
      </c>
      <c r="X66" s="46" t="n">
        <f aca="false">X58*X61</f>
        <v>96000</v>
      </c>
      <c r="Y66" s="46" t="n">
        <f aca="false">Y58*Y61</f>
        <v>96000</v>
      </c>
      <c r="Z66" s="46" t="n">
        <f aca="false">Z58*Z61</f>
        <v>96000</v>
      </c>
    </row>
    <row r="67" customFormat="false" ht="15" hidden="false" customHeight="false" outlineLevel="0" collapsed="false">
      <c r="B67" s="34" t="s">
        <v>32</v>
      </c>
      <c r="C67" s="24" t="n">
        <f aca="false">MAX(0,C65*Workflows!$Q$8-IF(Workflows!$V$8="Yes",0,C64*Workflows!$R$8*Assumptions!$B$31))/60</f>
        <v>894.729484132532</v>
      </c>
      <c r="D67" s="24" t="n">
        <f aca="false">MAX(0,D65*Workflows!$Q$8-IF(Workflows!$V$8="Yes",0,D64*Workflows!$R$8*Assumptions!$B$31))/60</f>
        <v>1823.04579806449</v>
      </c>
      <c r="E67" s="24" t="n">
        <f aca="false">MAX(0,E65*Workflows!$Q$8-IF(Workflows!$V$8="Yes",0,E64*Workflows!$R$8*Assumptions!$B$31))/60</f>
        <v>2785.89454196551</v>
      </c>
      <c r="F67" s="24" t="n">
        <f aca="false">MAX(0,F65*Workflows!$Q$8-IF(Workflows!$V$8="Yes",0,F64*Workflows!$R$8*Assumptions!$B$31))/60</f>
        <v>2838.18373522422</v>
      </c>
      <c r="G67" s="24" t="n">
        <f aca="false">MAX(0,G65*Workflows!$Q$8-IF(Workflows!$V$8="Yes",0,G64*Workflows!$R$8*Assumptions!$B$31))/60</f>
        <v>2891.45435821419</v>
      </c>
      <c r="H67" s="24" t="n">
        <f aca="false">MAX(0,H65*Workflows!$Q$8-IF(Workflows!$V$8="Yes",0,H64*Workflows!$R$8*Assumptions!$B$31))/60</f>
        <v>2945.72483165024</v>
      </c>
      <c r="I67" s="24" t="n">
        <f aca="false">MAX(0,I65*Workflows!$Q$8-IF(Workflows!$V$8="Yes",0,I64*Workflows!$R$8*Assumptions!$B$31))/60</f>
        <v>3001.01392199049</v>
      </c>
      <c r="J67" s="24" t="n">
        <f aca="false">MAX(0,J65*Workflows!$Q$8-IF(Workflows!$V$8="Yes",0,J64*Workflows!$R$8*Assumptions!$B$31))/60</f>
        <v>3057.34074792566</v>
      </c>
      <c r="K67" s="24" t="n">
        <f aca="false">MAX(0,K65*Workflows!$Q$8-IF(Workflows!$V$8="Yes",0,K64*Workflows!$R$8*Assumptions!$B$31))/60</f>
        <v>3114.72478699026</v>
      </c>
      <c r="L67" s="24" t="n">
        <f aca="false">MAX(0,L65*Workflows!$Q$8-IF(Workflows!$V$8="Yes",0,L64*Workflows!$R$8*Assumptions!$B$31))/60</f>
        <v>3173.18588229781</v>
      </c>
      <c r="M67" s="24" t="n">
        <f aca="false">MAX(0,M65*Workflows!$Q$8-IF(Workflows!$V$8="Yes",0,M64*Workflows!$R$8*Assumptions!$B$31))/60</f>
        <v>3232.74424940248</v>
      </c>
      <c r="N67" s="24" t="n">
        <f aca="false">MAX(0,N65*Workflows!$Q$8-IF(Workflows!$V$8="Yes",0,N64*Workflows!$R$8*Assumptions!$B$31))/60</f>
        <v>3293.42048328953</v>
      </c>
      <c r="O67" s="24" t="n">
        <f aca="false">MAX(0,O65*Workflows!$Q$8-IF(Workflows!$V$8="Yes",0,O64*Workflows!$R$8*Assumptions!$B$31))/60</f>
        <v>3355.23556549699</v>
      </c>
      <c r="P67" s="24" t="n">
        <f aca="false">MAX(0,P65*Workflows!$Q$8-IF(Workflows!$V$8="Yes",0,P64*Workflows!$R$8*Assumptions!$B$31))/60</f>
        <v>3418.21087137091</v>
      </c>
      <c r="Q67" s="24" t="n">
        <f aca="false">MAX(0,Q65*Workflows!$Q$8-IF(Workflows!$V$8="Yes",0,Q64*Workflows!$R$8*Assumptions!$B$31))/60</f>
        <v>3482.36817745689</v>
      </c>
      <c r="R67" s="24" t="n">
        <f aca="false">MAX(0,R65*Workflows!$Q$8-IF(Workflows!$V$8="Yes",0,R64*Workflows!$R$8*Assumptions!$B$31))/60</f>
        <v>3547.72966903027</v>
      </c>
      <c r="S67" s="24" t="n">
        <f aca="false">MAX(0,S65*Workflows!$Q$8-IF(Workflows!$V$8="Yes",0,S64*Workflows!$R$8*Assumptions!$B$31))/60</f>
        <v>3614.31794776773</v>
      </c>
      <c r="T67" s="24" t="n">
        <f aca="false">MAX(0,T65*Workflows!$Q$8-IF(Workflows!$V$8="Yes",0,T64*Workflows!$R$8*Assumptions!$B$31))/60</f>
        <v>3682.15603956281</v>
      </c>
      <c r="U67" s="24" t="n">
        <f aca="false">MAX(0,U65*Workflows!$Q$8-IF(Workflows!$V$8="Yes",0,U64*Workflows!$R$8*Assumptions!$B$31))/60</f>
        <v>3751.26740248811</v>
      </c>
      <c r="V67" s="24" t="n">
        <f aca="false">MAX(0,V65*Workflows!$Q$8-IF(Workflows!$V$8="Yes",0,V64*Workflows!$R$8*Assumptions!$B$31))/60</f>
        <v>3821.67593490708</v>
      </c>
      <c r="W67" s="24" t="n">
        <f aca="false">MAX(0,W65*Workflows!$Q$8-IF(Workflows!$V$8="Yes",0,W64*Workflows!$R$8*Assumptions!$B$31))/60</f>
        <v>3893.40598373783</v>
      </c>
      <c r="X67" s="24" t="n">
        <f aca="false">MAX(0,X65*Workflows!$Q$8-IF(Workflows!$V$8="Yes",0,X64*Workflows!$R$8*Assumptions!$B$31))/60</f>
        <v>3966.48235287226</v>
      </c>
      <c r="Y67" s="24" t="n">
        <f aca="false">MAX(0,Y65*Workflows!$Q$8-IF(Workflows!$V$8="Yes",0,Y64*Workflows!$R$8*Assumptions!$B$31))/60</f>
        <v>4040.93031175309</v>
      </c>
      <c r="Z67" s="24" t="n">
        <f aca="false">MAX(0,Z65*Workflows!$Q$8-IF(Workflows!$V$8="Yes",0,Z64*Workflows!$R$8*Assumptions!$B$31))/60</f>
        <v>4116.77560411192</v>
      </c>
    </row>
    <row r="68" customFormat="false" ht="15" hidden="false" customHeight="false" outlineLevel="0" collapsed="false">
      <c r="B68" s="34" t="s">
        <v>34</v>
      </c>
      <c r="C68" s="46" t="n">
        <f aca="false">C67*Workflows!$S$8</f>
        <v>98420.2432545785</v>
      </c>
      <c r="D68" s="46" t="n">
        <f aca="false">D67*Workflows!$S$8</f>
        <v>200535.037787094</v>
      </c>
      <c r="E68" s="46" t="n">
        <f aca="false">E67*Workflows!$S$8</f>
        <v>306448.399616206</v>
      </c>
      <c r="F68" s="46" t="n">
        <f aca="false">F67*Workflows!$S$8</f>
        <v>312200.210874664</v>
      </c>
      <c r="G68" s="46" t="n">
        <f aca="false">G67*Workflows!$S$8</f>
        <v>318059.979403561</v>
      </c>
      <c r="H68" s="46" t="n">
        <f aca="false">H67*Workflows!$S$8</f>
        <v>324029.731481527</v>
      </c>
      <c r="I68" s="46" t="n">
        <f aca="false">I67*Workflows!$S$8</f>
        <v>330111.531418954</v>
      </c>
      <c r="J68" s="46" t="n">
        <f aca="false">J67*Workflows!$S$8</f>
        <v>336307.482271823</v>
      </c>
      <c r="K68" s="46" t="n">
        <f aca="false">K67*Workflows!$S$8</f>
        <v>342619.726568929</v>
      </c>
      <c r="L68" s="46" t="n">
        <f aca="false">L67*Workflows!$S$8</f>
        <v>349050.447052759</v>
      </c>
      <c r="M68" s="46" t="n">
        <f aca="false">M67*Workflows!$S$8</f>
        <v>355601.867434272</v>
      </c>
      <c r="N68" s="46" t="n">
        <f aca="false">N67*Workflows!$S$8</f>
        <v>362276.253161849</v>
      </c>
      <c r="O68" s="46" t="n">
        <f aca="false">O67*Workflows!$S$8</f>
        <v>369075.912204669</v>
      </c>
      <c r="P68" s="46" t="n">
        <f aca="false">P67*Workflows!$S$8</f>
        <v>376003.195850801</v>
      </c>
      <c r="Q68" s="46" t="n">
        <f aca="false">Q67*Workflows!$S$8</f>
        <v>383060.499520258</v>
      </c>
      <c r="R68" s="46" t="n">
        <f aca="false">R67*Workflows!$S$8</f>
        <v>390250.26359333</v>
      </c>
      <c r="S68" s="46" t="n">
        <f aca="false">S67*Workflows!$S$8</f>
        <v>397574.974254451</v>
      </c>
      <c r="T68" s="46" t="n">
        <f aca="false">T67*Workflows!$S$8</f>
        <v>405037.164351909</v>
      </c>
      <c r="U68" s="46" t="n">
        <f aca="false">U67*Workflows!$S$8</f>
        <v>412639.414273692</v>
      </c>
      <c r="V68" s="46" t="n">
        <f aca="false">V67*Workflows!$S$8</f>
        <v>420384.352839778</v>
      </c>
      <c r="W68" s="46" t="n">
        <f aca="false">W67*Workflows!$S$8</f>
        <v>428274.658211161</v>
      </c>
      <c r="X68" s="46" t="n">
        <f aca="false">X67*Workflows!$S$8</f>
        <v>436313.058815949</v>
      </c>
      <c r="Y68" s="46" t="n">
        <f aca="false">Y67*Workflows!$S$8</f>
        <v>444502.33429284</v>
      </c>
      <c r="Z68" s="46" t="n">
        <f aca="false">Z67*Workflows!$S$8</f>
        <v>452845.316452311</v>
      </c>
    </row>
    <row r="69" customFormat="false" ht="15" hidden="false" customHeight="false" outlineLevel="0" collapsed="false">
      <c r="B69" s="34" t="inlineStr">
        <is>
          <t>Planned benefit ($)</t>
        </is>
      </c>
      <c r="C69" s="46" t="n">
        <f aca="false">IF(C$4&gt;=Workflows!$U$8+Assumptions!$B$33,C68*MIN(1,Workflows!$T$8*Assumptions!$B$32),0)</f>
        <v>0</v>
      </c>
      <c r="D69" s="46" t="n">
        <f aca="false">IF(D$4&gt;=Workflows!$U$8+Assumptions!$B$33,D68*MIN(1,Workflows!$T$8*Assumptions!$B$32),0)</f>
        <v>0</v>
      </c>
      <c r="E69" s="46" t="n">
        <f aca="false">IF(E$4&gt;=Workflows!$U$8+Assumptions!$B$33,E68*MIN(1,Workflows!$T$8*Assumptions!$B$32),0)</f>
        <v>153224.199808103</v>
      </c>
      <c r="F69" s="46" t="n">
        <f aca="false">IF(F$4&gt;=Workflows!$U$8+Assumptions!$B$33,F68*MIN(1,Workflows!$T$8*Assumptions!$B$32),0)</f>
        <v>156100.105437332</v>
      </c>
      <c r="G69" s="46" t="n">
        <f aca="false">IF(G$4&gt;=Workflows!$U$8+Assumptions!$B$33,G68*MIN(1,Workflows!$T$8*Assumptions!$B$32),0)</f>
        <v>159029.98970178</v>
      </c>
      <c r="H69" s="46" t="n">
        <f aca="false">IF(H$4&gt;=Workflows!$U$8+Assumptions!$B$33,H68*MIN(1,Workflows!$T$8*Assumptions!$B$32),0)</f>
        <v>162014.865740763</v>
      </c>
      <c r="I69" s="46" t="n">
        <f aca="false">IF(I$4&gt;=Workflows!$U$8+Assumptions!$B$33,I68*MIN(1,Workflows!$T$8*Assumptions!$B$32),0)</f>
        <v>165055.765709477</v>
      </c>
      <c r="J69" s="46" t="n">
        <f aca="false">IF(J$4&gt;=Workflows!$U$8+Assumptions!$B$33,J68*MIN(1,Workflows!$T$8*Assumptions!$B$32),0)</f>
        <v>168153.741135911</v>
      </c>
      <c r="K69" s="46" t="n">
        <f aca="false">IF(K$4&gt;=Workflows!$U$8+Assumptions!$B$33,K68*MIN(1,Workflows!$T$8*Assumptions!$B$32),0)</f>
        <v>171309.863284464</v>
      </c>
      <c r="L69" s="46" t="n">
        <f aca="false">IF(L$4&gt;=Workflows!$U$8+Assumptions!$B$33,L68*MIN(1,Workflows!$T$8*Assumptions!$B$32),0)</f>
        <v>174525.223526379</v>
      </c>
      <c r="M69" s="46" t="n">
        <f aca="false">IF(M$4&gt;=Workflows!$U$8+Assumptions!$B$33,M68*MIN(1,Workflows!$T$8*Assumptions!$B$32),0)</f>
        <v>177800.933717136</v>
      </c>
      <c r="N69" s="46" t="n">
        <f aca="false">IF(N$4&gt;=Workflows!$U$8+Assumptions!$B$33,N68*MIN(1,Workflows!$T$8*Assumptions!$B$32),0)</f>
        <v>181138.126580924</v>
      </c>
      <c r="O69" s="46" t="n">
        <f aca="false">IF(O$4&gt;=Workflows!$U$8+Assumptions!$B$33,O68*MIN(1,Workflows!$T$8*Assumptions!$B$32),0)</f>
        <v>184537.956102335</v>
      </c>
      <c r="P69" s="46" t="n">
        <f aca="false">IF(P$4&gt;=Workflows!$U$8+Assumptions!$B$33,P68*MIN(1,Workflows!$T$8*Assumptions!$B$32),0)</f>
        <v>188001.5979254</v>
      </c>
      <c r="Q69" s="46" t="n">
        <f aca="false">IF(Q$4&gt;=Workflows!$U$8+Assumptions!$B$33,Q68*MIN(1,Workflows!$T$8*Assumptions!$B$32),0)</f>
        <v>191530.249760129</v>
      </c>
      <c r="R69" s="46" t="n">
        <f aca="false">IF(R$4&gt;=Workflows!$U$8+Assumptions!$B$33,R68*MIN(1,Workflows!$T$8*Assumptions!$B$32),0)</f>
        <v>195125.131796665</v>
      </c>
      <c r="S69" s="46" t="n">
        <f aca="false">IF(S$4&gt;=Workflows!$U$8+Assumptions!$B$33,S68*MIN(1,Workflows!$T$8*Assumptions!$B$32),0)</f>
        <v>198787.487127225</v>
      </c>
      <c r="T69" s="46" t="n">
        <f aca="false">IF(T$4&gt;=Workflows!$U$8+Assumptions!$B$33,T68*MIN(1,Workflows!$T$8*Assumptions!$B$32),0)</f>
        <v>202518.582175954</v>
      </c>
      <c r="U69" s="46" t="n">
        <f aca="false">IF(U$4&gt;=Workflows!$U$8+Assumptions!$B$33,U68*MIN(1,Workflows!$T$8*Assumptions!$B$32),0)</f>
        <v>206319.707136846</v>
      </c>
      <c r="V69" s="46" t="n">
        <f aca="false">IF(V$4&gt;=Workflows!$U$8+Assumptions!$B$33,V68*MIN(1,Workflows!$T$8*Assumptions!$B$32),0)</f>
        <v>210192.176419889</v>
      </c>
      <c r="W69" s="46" t="n">
        <f aca="false">IF(W$4&gt;=Workflows!$U$8+Assumptions!$B$33,W68*MIN(1,Workflows!$T$8*Assumptions!$B$32),0)</f>
        <v>214137.32910558</v>
      </c>
      <c r="X69" s="46" t="n">
        <f aca="false">IF(X$4&gt;=Workflows!$U$8+Assumptions!$B$33,X68*MIN(1,Workflows!$T$8*Assumptions!$B$32),0)</f>
        <v>218156.529407974</v>
      </c>
      <c r="Y69" s="46" t="n">
        <f aca="false">IF(Y$4&gt;=Workflows!$U$8+Assumptions!$B$33,Y68*MIN(1,Workflows!$T$8*Assumptions!$B$32),0)</f>
        <v>222251.16714642</v>
      </c>
      <c r="Z69" s="46" t="n">
        <f aca="false">IF(Z$4&gt;=Workflows!$U$8+Assumptions!$B$33,Z68*MIN(1,Workflows!$T$8*Assumptions!$B$32),0)</f>
        <v>226422.658226156</v>
      </c>
    </row>
    <row r="70" customFormat="false" ht="15" hidden="false" customHeight="false" outlineLevel="0" collapsed="false">
      <c r="B70" s="34" t="s">
        <v>226</v>
      </c>
      <c r="C70" s="46" t="n">
        <f aca="false">IF(Workflows!$V$8="Yes",C64*Workflows!$R$8*Assumptions!$B$31/60*Workflows!$S$8,0)</f>
        <v>0</v>
      </c>
      <c r="D70" s="46" t="n">
        <f aca="false">IF(Workflows!$V$8="Yes",D64*Workflows!$R$8*Assumptions!$B$31/60*Workflows!$S$8,0)</f>
        <v>0</v>
      </c>
      <c r="E70" s="46" t="n">
        <f aca="false">IF(Workflows!$V$8="Yes",E64*Workflows!$R$8*Assumptions!$B$31/60*Workflows!$S$8,0)</f>
        <v>0</v>
      </c>
      <c r="F70" s="46" t="n">
        <f aca="false">IF(Workflows!$V$8="Yes",F64*Workflows!$R$8*Assumptions!$B$31/60*Workflows!$S$8,0)</f>
        <v>0</v>
      </c>
      <c r="G70" s="46" t="n">
        <f aca="false">IF(Workflows!$V$8="Yes",G64*Workflows!$R$8*Assumptions!$B$31/60*Workflows!$S$8,0)</f>
        <v>0</v>
      </c>
      <c r="H70" s="46" t="n">
        <f aca="false">IF(Workflows!$V$8="Yes",H64*Workflows!$R$8*Assumptions!$B$31/60*Workflows!$S$8,0)</f>
        <v>0</v>
      </c>
      <c r="I70" s="46" t="n">
        <f aca="false">IF(Workflows!$V$8="Yes",I64*Workflows!$R$8*Assumptions!$B$31/60*Workflows!$S$8,0)</f>
        <v>0</v>
      </c>
      <c r="J70" s="46" t="n">
        <f aca="false">IF(Workflows!$V$8="Yes",J64*Workflows!$R$8*Assumptions!$B$31/60*Workflows!$S$8,0)</f>
        <v>0</v>
      </c>
      <c r="K70" s="46" t="n">
        <f aca="false">IF(Workflows!$V$8="Yes",K64*Workflows!$R$8*Assumptions!$B$31/60*Workflows!$S$8,0)</f>
        <v>0</v>
      </c>
      <c r="L70" s="46" t="n">
        <f aca="false">IF(Workflows!$V$8="Yes",L64*Workflows!$R$8*Assumptions!$B$31/60*Workflows!$S$8,0)</f>
        <v>0</v>
      </c>
      <c r="M70" s="46" t="n">
        <f aca="false">IF(Workflows!$V$8="Yes",M64*Workflows!$R$8*Assumptions!$B$31/60*Workflows!$S$8,0)</f>
        <v>0</v>
      </c>
      <c r="N70" s="46" t="n">
        <f aca="false">IF(Workflows!$V$8="Yes",N64*Workflows!$R$8*Assumptions!$B$31/60*Workflows!$S$8,0)</f>
        <v>0</v>
      </c>
      <c r="O70" s="46" t="n">
        <f aca="false">IF(Workflows!$V$8="Yes",O64*Workflows!$R$8*Assumptions!$B$31/60*Workflows!$S$8,0)</f>
        <v>0</v>
      </c>
      <c r="P70" s="46" t="n">
        <f aca="false">IF(Workflows!$V$8="Yes",P64*Workflows!$R$8*Assumptions!$B$31/60*Workflows!$S$8,0)</f>
        <v>0</v>
      </c>
      <c r="Q70" s="46" t="n">
        <f aca="false">IF(Workflows!$V$8="Yes",Q64*Workflows!$R$8*Assumptions!$B$31/60*Workflows!$S$8,0)</f>
        <v>0</v>
      </c>
      <c r="R70" s="46" t="n">
        <f aca="false">IF(Workflows!$V$8="Yes",R64*Workflows!$R$8*Assumptions!$B$31/60*Workflows!$S$8,0)</f>
        <v>0</v>
      </c>
      <c r="S70" s="46" t="n">
        <f aca="false">IF(Workflows!$V$8="Yes",S64*Workflows!$R$8*Assumptions!$B$31/60*Workflows!$S$8,0)</f>
        <v>0</v>
      </c>
      <c r="T70" s="46" t="n">
        <f aca="false">IF(Workflows!$V$8="Yes",T64*Workflows!$R$8*Assumptions!$B$31/60*Workflows!$S$8,0)</f>
        <v>0</v>
      </c>
      <c r="U70" s="46" t="n">
        <f aca="false">IF(Workflows!$V$8="Yes",U64*Workflows!$R$8*Assumptions!$B$31/60*Workflows!$S$8,0)</f>
        <v>0</v>
      </c>
      <c r="V70" s="46" t="n">
        <f aca="false">IF(Workflows!$V$8="Yes",V64*Workflows!$R$8*Assumptions!$B$31/60*Workflows!$S$8,0)</f>
        <v>0</v>
      </c>
      <c r="W70" s="46" t="n">
        <f aca="false">IF(Workflows!$V$8="Yes",W64*Workflows!$R$8*Assumptions!$B$31/60*Workflows!$S$8,0)</f>
        <v>0</v>
      </c>
      <c r="X70" s="46" t="n">
        <f aca="false">IF(Workflows!$V$8="Yes",X64*Workflows!$R$8*Assumptions!$B$31/60*Workflows!$S$8,0)</f>
        <v>0</v>
      </c>
      <c r="Y70" s="46" t="n">
        <f aca="false">IF(Workflows!$V$8="Yes",Y64*Workflows!$R$8*Assumptions!$B$31/60*Workflows!$S$8,0)</f>
        <v>0</v>
      </c>
      <c r="Z70" s="46" t="n">
        <f aca="false">IF(Workflows!$V$8="Yes",Z64*Workflows!$R$8*Assumptions!$B$31/60*Workflows!$S$8,0)</f>
        <v>0</v>
      </c>
    </row>
    <row r="71" customFormat="false" ht="15" hidden="false" customHeight="false" outlineLevel="0" collapsed="false">
      <c r="B71" s="34" t="s">
        <v>227</v>
      </c>
      <c r="C71" s="24" t="n">
        <f aca="false">C63-C64</f>
        <v>2743.42451496653</v>
      </c>
      <c r="D71" s="24" t="n">
        <f aca="false">D63-D64</f>
        <v>5337.5742308245</v>
      </c>
      <c r="E71" s="24" t="n">
        <f aca="false">E63-E64</f>
        <v>7778.24648015328</v>
      </c>
      <c r="F71" s="24" t="n">
        <f aca="false">F63-F64</f>
        <v>7545.85006567014</v>
      </c>
      <c r="G71" s="24" t="n">
        <f aca="false">G63-G64</f>
        <v>7309.09174127028</v>
      </c>
      <c r="H71" s="24" t="n">
        <f aca="false">H63-H64</f>
        <v>7067.88963711003</v>
      </c>
      <c r="I71" s="24" t="n">
        <f aca="false">I63-I64</f>
        <v>6822.16034670893</v>
      </c>
      <c r="J71" s="24" t="n">
        <f aca="false">J63-J64</f>
        <v>6571.81889810817</v>
      </c>
      <c r="K71" s="24" t="n">
        <f aca="false">K63-K64</f>
        <v>6316.77872448773</v>
      </c>
      <c r="L71" s="24" t="n">
        <f aca="false">L63-L64</f>
        <v>6056.95163423197</v>
      </c>
      <c r="M71" s="24" t="n">
        <f aca="false">M63-M64</f>
        <v>5792.24778043344</v>
      </c>
      <c r="N71" s="24" t="n">
        <f aca="false">N63-N64</f>
        <v>5522.57562982429</v>
      </c>
      <c r="O71" s="24" t="n">
        <f aca="false">O63-O64</f>
        <v>5247.84193112447</v>
      </c>
      <c r="P71" s="24" t="n">
        <f aca="false">P63-P64</f>
        <v>4967.95168279594</v>
      </c>
      <c r="Q71" s="24" t="n">
        <f aca="false">Q63-Q64</f>
        <v>4682.80810019161</v>
      </c>
      <c r="R71" s="24" t="n">
        <f aca="false">R63-R64</f>
        <v>4392.31258208768</v>
      </c>
      <c r="S71" s="24" t="n">
        <f aca="false">S63-S64</f>
        <v>4096.36467658785</v>
      </c>
      <c r="T71" s="24" t="n">
        <f aca="false">T63-T64</f>
        <v>3794.86204638753</v>
      </c>
      <c r="U71" s="24" t="n">
        <f aca="false">U63-U64</f>
        <v>3487.70043338616</v>
      </c>
      <c r="V71" s="24" t="n">
        <f aca="false">V63-V64</f>
        <v>3174.77362263522</v>
      </c>
      <c r="W71" s="24" t="n">
        <f aca="false">W63-W64</f>
        <v>2855.97340560966</v>
      </c>
      <c r="X71" s="24" t="n">
        <f aca="false">X63-X64</f>
        <v>2531.18954278996</v>
      </c>
      <c r="Y71" s="24" t="n">
        <f aca="false">Y63-Y64</f>
        <v>2200.3097255418</v>
      </c>
      <c r="Z71" s="24" t="n">
        <f aca="false">Z63-Z64</f>
        <v>1863.21953728037</v>
      </c>
    </row>
    <row r="72" customFormat="false" ht="15" hidden="false" customHeight="false" outlineLevel="0" collapsed="false">
      <c r="B72" s="34" t="s">
        <v>228</v>
      </c>
      <c r="C72" s="46" t="n">
        <f aca="false">C71*C60</f>
        <v>22076.68</v>
      </c>
      <c r="D72" s="46" t="n">
        <f aca="false">D71*D60</f>
        <v>42160.7998029866</v>
      </c>
      <c r="E72" s="46" t="n">
        <f aca="false">E71*E60</f>
        <v>60307.4242188565</v>
      </c>
      <c r="F72" s="46" t="n">
        <f aca="false">F71*F60</f>
        <v>57427.6990582496</v>
      </c>
      <c r="G72" s="46" t="n">
        <f aca="false">G71*G60</f>
        <v>54601.0284281109</v>
      </c>
      <c r="H72" s="46" t="n">
        <f aca="false">H71*H60</f>
        <v>51826.4348798833</v>
      </c>
      <c r="I72" s="46" t="n">
        <f aca="false">I71*I60</f>
        <v>49102.958973004</v>
      </c>
      <c r="J72" s="46" t="n">
        <f aca="false">J71*J60</f>
        <v>46429.6589431346</v>
      </c>
      <c r="K72" s="46" t="n">
        <f aca="false">K71*K60</f>
        <v>43805.610376504</v>
      </c>
      <c r="L72" s="46" t="n">
        <f aca="false">L71*L60</f>
        <v>41229.9058902506</v>
      </c>
      <c r="M72" s="46" t="n">
        <f aca="false">M71*M60</f>
        <v>38701.6548186537</v>
      </c>
      <c r="N72" s="46" t="n">
        <f aca="false">N71*N60</f>
        <v>36219.982905146</v>
      </c>
      <c r="O72" s="46" t="n">
        <f aca="false">O71*O60</f>
        <v>33784.032</v>
      </c>
      <c r="P72" s="46" t="n">
        <f aca="false">P71*P60</f>
        <v>31392.9597635839</v>
      </c>
      <c r="Q72" s="46" t="n">
        <f aca="false">Q71*Q60</f>
        <v>29045.9393750852</v>
      </c>
      <c r="R72" s="46" t="n">
        <f aca="false">R71*R60</f>
        <v>26742.1592465997</v>
      </c>
      <c r="S72" s="46" t="n">
        <f aca="false">S71*S60</f>
        <v>24480.8227424887</v>
      </c>
      <c r="T72" s="46" t="n">
        <f aca="false">T71*T60</f>
        <v>22261.1479039066</v>
      </c>
      <c r="U72" s="46" t="n">
        <f aca="false">U71*U60</f>
        <v>20082.3671784032</v>
      </c>
      <c r="V72" s="46" t="n">
        <f aca="false">V71*V60</f>
        <v>17943.7271545077</v>
      </c>
      <c r="W72" s="46" t="n">
        <f aca="false">W71*W60</f>
        <v>15844.4883012032</v>
      </c>
      <c r="X72" s="46" t="n">
        <f aca="false">X71*X60</f>
        <v>13783.9247122005</v>
      </c>
      <c r="Y72" s="46" t="n">
        <f aca="false">Y71*Y60</f>
        <v>11761.323854923</v>
      </c>
      <c r="Z72" s="46" t="n">
        <f aca="false">Z71*Z60</f>
        <v>9775.98632411683</v>
      </c>
    </row>
    <row r="73" customFormat="false" ht="15" hidden="false" customHeight="false" outlineLevel="0" collapsed="false">
      <c r="B73" s="34" t="inlineStr">
        <is>
          <t>Planned benefit lost to cap ($)</t>
        </is>
      </c>
      <c r="C73" s="46" t="n">
        <f aca="false">IF(C64=0,0,C71/C64*C69)</f>
        <v>0</v>
      </c>
      <c r="D73" s="46" t="n">
        <f aca="false">IF(D64=0,0,D71/D64*D69)</f>
        <v>0</v>
      </c>
      <c r="E73" s="46" t="n">
        <f aca="false">IF(E64=0,0,E71/E64*E69)</f>
        <v>96255.8001918969</v>
      </c>
      <c r="F73" s="46" t="n">
        <f aca="false">IF(F64=0,0,F71/F64*F69)</f>
        <v>93379.894562668</v>
      </c>
      <c r="G73" s="46" t="n">
        <f aca="false">IF(G64=0,0,G71/G64*G69)</f>
        <v>90450.0102982197</v>
      </c>
      <c r="H73" s="46" t="n">
        <f aca="false">IF(H64=0,0,H71/H64*H69)</f>
        <v>87465.1342592366</v>
      </c>
      <c r="I73" s="46" t="n">
        <f aca="false">IF(I64=0,0,I71/I64*I69)</f>
        <v>84424.234290523</v>
      </c>
      <c r="J73" s="46" t="n">
        <f aca="false">IF(J64=0,0,J71/J64*J69)</f>
        <v>81326.2588640887</v>
      </c>
      <c r="K73" s="46" t="n">
        <f aca="false">IF(K64=0,0,K71/K64*K69)</f>
        <v>78170.1367155357</v>
      </c>
      <c r="L73" s="46" t="n">
        <f aca="false">IF(L64=0,0,L71/L64*L69)</f>
        <v>74954.7764736206</v>
      </c>
      <c r="M73" s="46" t="n">
        <f aca="false">IF(M64=0,0,M71/M64*M69)</f>
        <v>71679.0662828639</v>
      </c>
      <c r="N73" s="46" t="n">
        <f aca="false">IF(N64=0,0,N71/N64*N69)</f>
        <v>68341.8734190756</v>
      </c>
      <c r="O73" s="46" t="n">
        <f aca="false">IF(O64=0,0,O71/O64*O69)</f>
        <v>64942.0438976653</v>
      </c>
      <c r="P73" s="46" t="n">
        <f aca="false">IF(P64=0,0,P71/P64*P69)</f>
        <v>61478.4020745998</v>
      </c>
      <c r="Q73" s="46" t="n">
        <f aca="false">IF(Q64=0,0,Q71/Q64*Q69)</f>
        <v>57949.7502398711</v>
      </c>
      <c r="R73" s="46" t="n">
        <f aca="false">IF(R64=0,0,R71/R64*R69)</f>
        <v>54354.868203335</v>
      </c>
      <c r="S73" s="46" t="n">
        <f aca="false">IF(S64=0,0,S71/S64*S69)</f>
        <v>50692.5128727746</v>
      </c>
      <c r="T73" s="46" t="n">
        <f aca="false">IF(T64=0,0,T71/T64*T69)</f>
        <v>46961.4178240457</v>
      </c>
      <c r="U73" s="46" t="n">
        <f aca="false">IF(U64=0,0,U71/U64*U69)</f>
        <v>43160.2928631538</v>
      </c>
      <c r="V73" s="46" t="n">
        <f aca="false">IF(V64=0,0,V71/V64*V69)</f>
        <v>39287.8235801108</v>
      </c>
      <c r="W73" s="46" t="n">
        <f aca="false">IF(W64=0,0,W71/W64*W69)</f>
        <v>35342.6708944196</v>
      </c>
      <c r="X73" s="46" t="n">
        <f aca="false">IF(X64=0,0,X71/X64*X69)</f>
        <v>31323.4705920257</v>
      </c>
      <c r="Y73" s="46" t="n">
        <f aca="false">IF(Y64=0,0,Y71/Y64*Y69)</f>
        <v>27228.8328535798</v>
      </c>
      <c r="Z73" s="46" t="n">
        <f aca="false">IF(Z64=0,0,Z71/Z64*Z69)</f>
        <v>23057.3417738445</v>
      </c>
    </row>
    <row r="75" customFormat="false" ht="15" hidden="false" customHeight="false" outlineLevel="0" collapsed="false">
      <c r="A75" s="50" t="str">
        <f aca="false">Workflows!A9</f>
        <v>Call summary (batch)</v>
      </c>
      <c r="B75" s="34" t="s">
        <v>219</v>
      </c>
      <c r="C75" s="24" t="n">
        <f aca="false">Workflows!$D$9*MIN(1,Workflows!$E$9*Assumptions!$B$26)*MIN(1,C$4/MAX(1,Workflows!$F$9))</f>
        <v>180</v>
      </c>
      <c r="D75" s="24" t="n">
        <f aca="false">Workflows!$D$9*MIN(1,Workflows!$E$9*Assumptions!$B$26)*MIN(1,D$4/MAX(1,Workflows!$F$9))</f>
        <v>360</v>
      </c>
      <c r="E75" s="24" t="n">
        <f aca="false">Workflows!$D$9*MIN(1,Workflows!$E$9*Assumptions!$B$26)*MIN(1,E$4/MAX(1,Workflows!$F$9))</f>
        <v>540</v>
      </c>
      <c r="F75" s="24" t="n">
        <f aca="false">Workflows!$D$9*MIN(1,Workflows!$E$9*Assumptions!$B$26)*MIN(1,F$4/MAX(1,Workflows!$F$9))</f>
        <v>720</v>
      </c>
      <c r="G75" s="24" t="n">
        <f aca="false">Workflows!$D$9*MIN(1,Workflows!$E$9*Assumptions!$B$26)*MIN(1,G$4/MAX(1,Workflows!$F$9))</f>
        <v>720</v>
      </c>
      <c r="H75" s="24" t="n">
        <f aca="false">Workflows!$D$9*MIN(1,Workflows!$E$9*Assumptions!$B$26)*MIN(1,H$4/MAX(1,Workflows!$F$9))</f>
        <v>720</v>
      </c>
      <c r="I75" s="24" t="n">
        <f aca="false">Workflows!$D$9*MIN(1,Workflows!$E$9*Assumptions!$B$26)*MIN(1,I$4/MAX(1,Workflows!$F$9))</f>
        <v>720</v>
      </c>
      <c r="J75" s="24" t="n">
        <f aca="false">Workflows!$D$9*MIN(1,Workflows!$E$9*Assumptions!$B$26)*MIN(1,J$4/MAX(1,Workflows!$F$9))</f>
        <v>720</v>
      </c>
      <c r="K75" s="24" t="n">
        <f aca="false">Workflows!$D$9*MIN(1,Workflows!$E$9*Assumptions!$B$26)*MIN(1,K$4/MAX(1,Workflows!$F$9))</f>
        <v>720</v>
      </c>
      <c r="L75" s="24" t="n">
        <f aca="false">Workflows!$D$9*MIN(1,Workflows!$E$9*Assumptions!$B$26)*MIN(1,L$4/MAX(1,Workflows!$F$9))</f>
        <v>720</v>
      </c>
      <c r="M75" s="24" t="n">
        <f aca="false">Workflows!$D$9*MIN(1,Workflows!$E$9*Assumptions!$B$26)*MIN(1,M$4/MAX(1,Workflows!$F$9))</f>
        <v>720</v>
      </c>
      <c r="N75" s="24" t="n">
        <f aca="false">Workflows!$D$9*MIN(1,Workflows!$E$9*Assumptions!$B$26)*MIN(1,N$4/MAX(1,Workflows!$F$9))</f>
        <v>720</v>
      </c>
      <c r="O75" s="24" t="n">
        <f aca="false">Workflows!$D$9*MIN(1,Workflows!$E$9*Assumptions!$B$26)*MIN(1,O$4/MAX(1,Workflows!$F$9))</f>
        <v>720</v>
      </c>
      <c r="P75" s="24" t="n">
        <f aca="false">Workflows!$D$9*MIN(1,Workflows!$E$9*Assumptions!$B$26)*MIN(1,P$4/MAX(1,Workflows!$F$9))</f>
        <v>720</v>
      </c>
      <c r="Q75" s="24" t="n">
        <f aca="false">Workflows!$D$9*MIN(1,Workflows!$E$9*Assumptions!$B$26)*MIN(1,Q$4/MAX(1,Workflows!$F$9))</f>
        <v>720</v>
      </c>
      <c r="R75" s="24" t="n">
        <f aca="false">Workflows!$D$9*MIN(1,Workflows!$E$9*Assumptions!$B$26)*MIN(1,R$4/MAX(1,Workflows!$F$9))</f>
        <v>720</v>
      </c>
      <c r="S75" s="24" t="n">
        <f aca="false">Workflows!$D$9*MIN(1,Workflows!$E$9*Assumptions!$B$26)*MIN(1,S$4/MAX(1,Workflows!$F$9))</f>
        <v>720</v>
      </c>
      <c r="T75" s="24" t="n">
        <f aca="false">Workflows!$D$9*MIN(1,Workflows!$E$9*Assumptions!$B$26)*MIN(1,T$4/MAX(1,Workflows!$F$9))</f>
        <v>720</v>
      </c>
      <c r="U75" s="24" t="n">
        <f aca="false">Workflows!$D$9*MIN(1,Workflows!$E$9*Assumptions!$B$26)*MIN(1,U$4/MAX(1,Workflows!$F$9))</f>
        <v>720</v>
      </c>
      <c r="V75" s="24" t="n">
        <f aca="false">Workflows!$D$9*MIN(1,Workflows!$E$9*Assumptions!$B$26)*MIN(1,V$4/MAX(1,Workflows!$F$9))</f>
        <v>720</v>
      </c>
      <c r="W75" s="24" t="n">
        <f aca="false">Workflows!$D$9*MIN(1,Workflows!$E$9*Assumptions!$B$26)*MIN(1,W$4/MAX(1,Workflows!$F$9))</f>
        <v>720</v>
      </c>
      <c r="X75" s="24" t="n">
        <f aca="false">Workflows!$D$9*MIN(1,Workflows!$E$9*Assumptions!$B$26)*MIN(1,X$4/MAX(1,Workflows!$F$9))</f>
        <v>720</v>
      </c>
      <c r="Y75" s="24" t="n">
        <f aca="false">Workflows!$D$9*MIN(1,Workflows!$E$9*Assumptions!$B$26)*MIN(1,Y$4/MAX(1,Workflows!$F$9))</f>
        <v>720</v>
      </c>
      <c r="Z75" s="24" t="n">
        <f aca="false">Workflows!$D$9*MIN(1,Workflows!$E$9*Assumptions!$B$26)*MIN(1,Z$4/MAX(1,Workflows!$F$9))</f>
        <v>720</v>
      </c>
    </row>
    <row r="76" customFormat="false" ht="15" hidden="false" customHeight="false" outlineLevel="0" collapsed="false">
      <c r="A76" s="51" t="str">
        <f aca="false">Workflows!B9</f>
        <v>Contact center agent</v>
      </c>
      <c r="B76" s="34" t="s">
        <v>220</v>
      </c>
      <c r="C76" s="24" t="n">
        <f aca="false">Workflows!$G$9*Assumptions!$B$5*Assumptions!$B$27</f>
        <v>630</v>
      </c>
      <c r="D76" s="24" t="n">
        <f aca="false">Workflows!$G$9*Assumptions!$B$5*Assumptions!$B$27</f>
        <v>630</v>
      </c>
      <c r="E76" s="24" t="n">
        <f aca="false">Workflows!$G$9*Assumptions!$B$5*Assumptions!$B$27</f>
        <v>630</v>
      </c>
      <c r="F76" s="24" t="n">
        <f aca="false">Workflows!$G$9*Assumptions!$B$5*Assumptions!$B$27</f>
        <v>630</v>
      </c>
      <c r="G76" s="24" t="n">
        <f aca="false">Workflows!$G$9*Assumptions!$B$5*Assumptions!$B$27</f>
        <v>630</v>
      </c>
      <c r="H76" s="24" t="n">
        <f aca="false">Workflows!$G$9*Assumptions!$B$5*Assumptions!$B$27</f>
        <v>630</v>
      </c>
      <c r="I76" s="24" t="n">
        <f aca="false">Workflows!$G$9*Assumptions!$B$5*Assumptions!$B$27</f>
        <v>630</v>
      </c>
      <c r="J76" s="24" t="n">
        <f aca="false">Workflows!$G$9*Assumptions!$B$5*Assumptions!$B$27</f>
        <v>630</v>
      </c>
      <c r="K76" s="24" t="n">
        <f aca="false">Workflows!$G$9*Assumptions!$B$5*Assumptions!$B$27</f>
        <v>630</v>
      </c>
      <c r="L76" s="24" t="n">
        <f aca="false">Workflows!$G$9*Assumptions!$B$5*Assumptions!$B$27</f>
        <v>630</v>
      </c>
      <c r="M76" s="24" t="n">
        <f aca="false">Workflows!$G$9*Assumptions!$B$5*Assumptions!$B$27</f>
        <v>630</v>
      </c>
      <c r="N76" s="24" t="n">
        <f aca="false">Workflows!$G$9*Assumptions!$B$5*Assumptions!$B$27</f>
        <v>630</v>
      </c>
      <c r="O76" s="24" t="n">
        <f aca="false">Workflows!$G$9*Assumptions!$B$5*Assumptions!$B$27</f>
        <v>630</v>
      </c>
      <c r="P76" s="24" t="n">
        <f aca="false">Workflows!$G$9*Assumptions!$B$5*Assumptions!$B$27</f>
        <v>630</v>
      </c>
      <c r="Q76" s="24" t="n">
        <f aca="false">Workflows!$G$9*Assumptions!$B$5*Assumptions!$B$27</f>
        <v>630</v>
      </c>
      <c r="R76" s="24" t="n">
        <f aca="false">Workflows!$G$9*Assumptions!$B$5*Assumptions!$B$27</f>
        <v>630</v>
      </c>
      <c r="S76" s="24" t="n">
        <f aca="false">Workflows!$G$9*Assumptions!$B$5*Assumptions!$B$27</f>
        <v>630</v>
      </c>
      <c r="T76" s="24" t="n">
        <f aca="false">Workflows!$G$9*Assumptions!$B$5*Assumptions!$B$27</f>
        <v>630</v>
      </c>
      <c r="U76" s="24" t="n">
        <f aca="false">Workflows!$G$9*Assumptions!$B$5*Assumptions!$B$27</f>
        <v>630</v>
      </c>
      <c r="V76" s="24" t="n">
        <f aca="false">Workflows!$G$9*Assumptions!$B$5*Assumptions!$B$27</f>
        <v>630</v>
      </c>
      <c r="W76" s="24" t="n">
        <f aca="false">Workflows!$G$9*Assumptions!$B$5*Assumptions!$B$27</f>
        <v>630</v>
      </c>
      <c r="X76" s="24" t="n">
        <f aca="false">Workflows!$G$9*Assumptions!$B$5*Assumptions!$B$27</f>
        <v>630</v>
      </c>
      <c r="Y76" s="24" t="n">
        <f aca="false">Workflows!$G$9*Assumptions!$B$5*Assumptions!$B$27</f>
        <v>630</v>
      </c>
      <c r="Z76" s="24" t="n">
        <f aca="false">Workflows!$G$9*Assumptions!$B$5*Assumptions!$B$27</f>
        <v>630</v>
      </c>
    </row>
    <row r="77" customFormat="false" ht="15" hidden="false" customHeight="false" outlineLevel="0" collapsed="false">
      <c r="B77" s="34" t="s">
        <v>170</v>
      </c>
      <c r="C77" s="45" t="n">
        <f aca="false">Workflows!$Z$9*Assumptions!$B$28*C$5</f>
        <v>0.00070875</v>
      </c>
      <c r="D77" s="45" t="n">
        <f aca="false">Workflows!$Z$9*Assumptions!$B$28*D$5</f>
        <v>0.000695692365548022</v>
      </c>
      <c r="E77" s="45" t="n">
        <f aca="false">Workflows!$Z$9*Assumptions!$B$28*E$5</f>
        <v>0.000682875298034288</v>
      </c>
      <c r="F77" s="45" t="n">
        <f aca="false">Workflows!$Z$9*Assumptions!$B$28*F$5</f>
        <v>0.000670294365381001</v>
      </c>
      <c r="G77" s="45" t="n">
        <f aca="false">Workflows!$Z$9*Assumptions!$B$28*G$5</f>
        <v>0.000657945217164611</v>
      </c>
      <c r="H77" s="45" t="n">
        <f aca="false">Workflows!$Z$9*Assumptions!$B$28*H$5</f>
        <v>0.000645823583111471</v>
      </c>
      <c r="I77" s="45" t="n">
        <f aca="false">Workflows!$Z$9*Assumptions!$B$28*I$5</f>
        <v>0.00063392527162119</v>
      </c>
      <c r="J77" s="45" t="n">
        <f aca="false">Workflows!$Z$9*Assumptions!$B$28*J$5</f>
        <v>0.000622246168317204</v>
      </c>
      <c r="K77" s="45" t="n">
        <f aca="false">Workflows!$Z$9*Assumptions!$B$28*K$5</f>
        <v>0.000610782234624039</v>
      </c>
      <c r="L77" s="45" t="n">
        <f aca="false">Workflows!$Z$9*Assumptions!$B$28*L$5</f>
        <v>0.0005995295063708</v>
      </c>
      <c r="M77" s="45" t="n">
        <f aca="false">Workflows!$Z$9*Assumptions!$B$28*M$5</f>
        <v>0.000588484092420373</v>
      </c>
      <c r="N77" s="45" t="n">
        <f aca="false">Workflows!$Z$9*Assumptions!$B$28*N$5</f>
        <v>0.000577642173323894</v>
      </c>
      <c r="O77" s="45" t="n">
        <f aca="false">Workflows!$Z$9*Assumptions!$B$28*O$5</f>
        <v>0.000567</v>
      </c>
      <c r="P77" s="45" t="n">
        <f aca="false">Workflows!$Z$9*Assumptions!$B$28*P$5</f>
        <v>0.000556553892438417</v>
      </c>
      <c r="Q77" s="45" t="n">
        <f aca="false">Workflows!$Z$9*Assumptions!$B$28*Q$5</f>
        <v>0.000546300238427431</v>
      </c>
      <c r="R77" s="45" t="n">
        <f aca="false">Workflows!$Z$9*Assumptions!$B$28*R$5</f>
        <v>0.000536235492304801</v>
      </c>
      <c r="S77" s="45" t="n">
        <f aca="false">Workflows!$Z$9*Assumptions!$B$28*S$5</f>
        <v>0.000526356173731689</v>
      </c>
      <c r="T77" s="45" t="n">
        <f aca="false">Workflows!$Z$9*Assumptions!$B$28*T$5</f>
        <v>0.000516658866489177</v>
      </c>
      <c r="U77" s="45" t="n">
        <f aca="false">Workflows!$Z$9*Assumptions!$B$28*U$5</f>
        <v>0.000507140217296952</v>
      </c>
      <c r="V77" s="45" t="n">
        <f aca="false">Workflows!$Z$9*Assumptions!$B$28*V$5</f>
        <v>0.000497796934653763</v>
      </c>
      <c r="W77" s="45" t="n">
        <f aca="false">Workflows!$Z$9*Assumptions!$B$28*W$5</f>
        <v>0.000488625787699231</v>
      </c>
      <c r="X77" s="45" t="n">
        <f aca="false">Workflows!$Z$9*Assumptions!$B$28*X$5</f>
        <v>0.00047962360509664</v>
      </c>
      <c r="Y77" s="45" t="n">
        <f aca="false">Workflows!$Z$9*Assumptions!$B$28*Y$5</f>
        <v>0.000470787273936298</v>
      </c>
      <c r="Z77" s="45" t="n">
        <f aca="false">Workflows!$Z$9*Assumptions!$B$28*Z$5</f>
        <v>0.000462113738659115</v>
      </c>
    </row>
    <row r="78" customFormat="false" ht="15" hidden="false" customHeight="false" outlineLevel="0" collapsed="false">
      <c r="B78" s="34" t="s">
        <v>221</v>
      </c>
      <c r="C78" s="46" t="n">
        <f aca="false">MIN(C76*C77,Workflows!$O$9)</f>
        <v>0.4465125</v>
      </c>
      <c r="D78" s="46" t="n">
        <f aca="false">MIN(D76*D77,Workflows!$O$9)</f>
        <v>0.438286190295254</v>
      </c>
      <c r="E78" s="46" t="n">
        <f aca="false">MIN(E76*E77,Workflows!$O$9)</f>
        <v>0.430211437761602</v>
      </c>
      <c r="F78" s="46" t="n">
        <f aca="false">MIN(F76*F77,Workflows!$O$9)</f>
        <v>0.422285450190031</v>
      </c>
      <c r="G78" s="46" t="n">
        <f aca="false">MIN(G76*G77,Workflows!$O$9)</f>
        <v>0.414505486813705</v>
      </c>
      <c r="H78" s="46" t="n">
        <f aca="false">MIN(H76*H77,Workflows!$O$9)</f>
        <v>0.406868857360227</v>
      </c>
      <c r="I78" s="46" t="n">
        <f aca="false">MIN(I76*I77,Workflows!$O$9)</f>
        <v>0.39937292112135</v>
      </c>
      <c r="J78" s="46" t="n">
        <f aca="false">MIN(J76*J77,Workflows!$O$9)</f>
        <v>0.392015086039838</v>
      </c>
      <c r="K78" s="46" t="n">
        <f aca="false">MIN(K76*K77,Workflows!$O$9)</f>
        <v>0.384792807813145</v>
      </c>
      <c r="L78" s="46" t="n">
        <f aca="false">MIN(L76*L77,Workflows!$O$9)</f>
        <v>0.377703589013604</v>
      </c>
      <c r="M78" s="46" t="n">
        <f aca="false">MIN(M76*M77,Workflows!$O$9)</f>
        <v>0.370744978224835</v>
      </c>
      <c r="N78" s="46" t="n">
        <f aca="false">MIN(N76*N77,Workflows!$O$9)</f>
        <v>0.363914569194053</v>
      </c>
      <c r="O78" s="46" t="n">
        <f aca="false">MIN(O76*O77,Workflows!$O$9)</f>
        <v>0.35721</v>
      </c>
      <c r="P78" s="46" t="n">
        <f aca="false">MIN(P76*P77,Workflows!$O$9)</f>
        <v>0.350628952236203</v>
      </c>
      <c r="Q78" s="46" t="n">
        <f aca="false">MIN(Q76*Q77,Workflows!$O$9)</f>
        <v>0.344169150209281</v>
      </c>
      <c r="R78" s="46" t="n">
        <f aca="false">MIN(R76*R77,Workflows!$O$9)</f>
        <v>0.337828360152024</v>
      </c>
      <c r="S78" s="46" t="n">
        <f aca="false">MIN(S76*S77,Workflows!$O$9)</f>
        <v>0.331604389450964</v>
      </c>
      <c r="T78" s="46" t="n">
        <f aca="false">MIN(T76*T77,Workflows!$O$9)</f>
        <v>0.325495085888182</v>
      </c>
      <c r="U78" s="46" t="n">
        <f aca="false">MIN(U76*U77,Workflows!$O$9)</f>
        <v>0.31949833689708</v>
      </c>
      <c r="V78" s="46" t="n">
        <f aca="false">MIN(V76*V77,Workflows!$O$9)</f>
        <v>0.313612068831871</v>
      </c>
      <c r="W78" s="46" t="n">
        <f aca="false">MIN(W76*W77,Workflows!$O$9)</f>
        <v>0.307834246250516</v>
      </c>
      <c r="X78" s="46" t="n">
        <f aca="false">MIN(X76*X77,Workflows!$O$9)</f>
        <v>0.302162871210883</v>
      </c>
      <c r="Y78" s="46" t="n">
        <f aca="false">MIN(Y76*Y77,Workflows!$O$9)</f>
        <v>0.296595982579868</v>
      </c>
      <c r="Z78" s="46" t="n">
        <f aca="false">MIN(Z76*Z77,Workflows!$O$9)</f>
        <v>0.291131655355243</v>
      </c>
    </row>
    <row r="79" customFormat="false" ht="15" hidden="false" customHeight="false" outlineLevel="0" collapsed="false">
      <c r="B79" s="34" t="s">
        <v>222</v>
      </c>
      <c r="C79" s="36" t="n">
        <f aca="false">IF(C76*C77=0,1,MIN(1,Workflows!$O$9/(C76*C77)))</f>
        <v>1</v>
      </c>
      <c r="D79" s="36" t="n">
        <f aca="false">IF(D76*D77=0,1,MIN(1,Workflows!$O$9/(D76*D77)))</f>
        <v>1</v>
      </c>
      <c r="E79" s="36" t="n">
        <f aca="false">IF(E76*E77=0,1,MIN(1,Workflows!$O$9/(E76*E77)))</f>
        <v>1</v>
      </c>
      <c r="F79" s="36" t="n">
        <f aca="false">IF(F76*F77=0,1,MIN(1,Workflows!$O$9/(F76*F77)))</f>
        <v>1</v>
      </c>
      <c r="G79" s="36" t="n">
        <f aca="false">IF(G76*G77=0,1,MIN(1,Workflows!$O$9/(G76*G77)))</f>
        <v>1</v>
      </c>
      <c r="H79" s="36" t="n">
        <f aca="false">IF(H76*H77=0,1,MIN(1,Workflows!$O$9/(H76*H77)))</f>
        <v>1</v>
      </c>
      <c r="I79" s="36" t="n">
        <f aca="false">IF(I76*I77=0,1,MIN(1,Workflows!$O$9/(I76*I77)))</f>
        <v>1</v>
      </c>
      <c r="J79" s="36" t="n">
        <f aca="false">IF(J76*J77=0,1,MIN(1,Workflows!$O$9/(J76*J77)))</f>
        <v>1</v>
      </c>
      <c r="K79" s="36" t="n">
        <f aca="false">IF(K76*K77=0,1,MIN(1,Workflows!$O$9/(K76*K77)))</f>
        <v>1</v>
      </c>
      <c r="L79" s="36" t="n">
        <f aca="false">IF(L76*L77=0,1,MIN(1,Workflows!$O$9/(L76*L77)))</f>
        <v>1</v>
      </c>
      <c r="M79" s="36" t="n">
        <f aca="false">IF(M76*M77=0,1,MIN(1,Workflows!$O$9/(M76*M77)))</f>
        <v>1</v>
      </c>
      <c r="N79" s="36" t="n">
        <f aca="false">IF(N76*N77=0,1,MIN(1,Workflows!$O$9/(N76*N77)))</f>
        <v>1</v>
      </c>
      <c r="O79" s="36" t="n">
        <f aca="false">IF(O76*O77=0,1,MIN(1,Workflows!$O$9/(O76*O77)))</f>
        <v>1</v>
      </c>
      <c r="P79" s="36" t="n">
        <f aca="false">IF(P76*P77=0,1,MIN(1,Workflows!$O$9/(P76*P77)))</f>
        <v>1</v>
      </c>
      <c r="Q79" s="36" t="n">
        <f aca="false">IF(Q76*Q77=0,1,MIN(1,Workflows!$O$9/(Q76*Q77)))</f>
        <v>1</v>
      </c>
      <c r="R79" s="36" t="n">
        <f aca="false">IF(R76*R77=0,1,MIN(1,Workflows!$O$9/(R76*R77)))</f>
        <v>1</v>
      </c>
      <c r="S79" s="36" t="n">
        <f aca="false">IF(S76*S77=0,1,MIN(1,Workflows!$O$9/(S76*S77)))</f>
        <v>1</v>
      </c>
      <c r="T79" s="36" t="n">
        <f aca="false">IF(T76*T77=0,1,MIN(1,Workflows!$O$9/(T76*T77)))</f>
        <v>1</v>
      </c>
      <c r="U79" s="36" t="n">
        <f aca="false">IF(U76*U77=0,1,MIN(1,Workflows!$O$9/(U76*U77)))</f>
        <v>1</v>
      </c>
      <c r="V79" s="36" t="n">
        <f aca="false">IF(V76*V77=0,1,MIN(1,Workflows!$O$9/(V76*V77)))</f>
        <v>1</v>
      </c>
      <c r="W79" s="36" t="n">
        <f aca="false">IF(W76*W77=0,1,MIN(1,Workflows!$O$9/(W76*W77)))</f>
        <v>1</v>
      </c>
      <c r="X79" s="36" t="n">
        <f aca="false">IF(X76*X77=0,1,MIN(1,Workflows!$O$9/(X76*X77)))</f>
        <v>1</v>
      </c>
      <c r="Y79" s="36" t="n">
        <f aca="false">IF(Y76*Y77=0,1,MIN(1,Workflows!$O$9/(Y76*Y77)))</f>
        <v>1</v>
      </c>
      <c r="Z79" s="36" t="n">
        <f aca="false">IF(Z76*Z77=0,1,MIN(1,Workflows!$O$9/(Z76*Z77)))</f>
        <v>1</v>
      </c>
    </row>
    <row r="80" customFormat="false" ht="15" hidden="false" customHeight="false" outlineLevel="0" collapsed="false">
      <c r="B80" s="34" t="s">
        <v>223</v>
      </c>
      <c r="C80" s="24" t="n">
        <f aca="false">C75*C76</f>
        <v>113400</v>
      </c>
      <c r="D80" s="24" t="n">
        <f aca="false">D75*D76</f>
        <v>226800</v>
      </c>
      <c r="E80" s="24" t="n">
        <f aca="false">E75*E76</f>
        <v>340200</v>
      </c>
      <c r="F80" s="24" t="n">
        <f aca="false">F75*F76</f>
        <v>453600</v>
      </c>
      <c r="G80" s="24" t="n">
        <f aca="false">G75*G76</f>
        <v>453600</v>
      </c>
      <c r="H80" s="24" t="n">
        <f aca="false">H75*H76</f>
        <v>453600</v>
      </c>
      <c r="I80" s="24" t="n">
        <f aca="false">I75*I76</f>
        <v>453600</v>
      </c>
      <c r="J80" s="24" t="n">
        <f aca="false">J75*J76</f>
        <v>453600</v>
      </c>
      <c r="K80" s="24" t="n">
        <f aca="false">K75*K76</f>
        <v>453600</v>
      </c>
      <c r="L80" s="24" t="n">
        <f aca="false">L75*L76</f>
        <v>453600</v>
      </c>
      <c r="M80" s="24" t="n">
        <f aca="false">M75*M76</f>
        <v>453600</v>
      </c>
      <c r="N80" s="24" t="n">
        <f aca="false">N75*N76</f>
        <v>453600</v>
      </c>
      <c r="O80" s="24" t="n">
        <f aca="false">O75*O76</f>
        <v>453600</v>
      </c>
      <c r="P80" s="24" t="n">
        <f aca="false">P75*P76</f>
        <v>453600</v>
      </c>
      <c r="Q80" s="24" t="n">
        <f aca="false">Q75*Q76</f>
        <v>453600</v>
      </c>
      <c r="R80" s="24" t="n">
        <f aca="false">R75*R76</f>
        <v>453600</v>
      </c>
      <c r="S80" s="24" t="n">
        <f aca="false">S75*S76</f>
        <v>453600</v>
      </c>
      <c r="T80" s="24" t="n">
        <f aca="false">T75*T76</f>
        <v>453600</v>
      </c>
      <c r="U80" s="24" t="n">
        <f aca="false">U75*U76</f>
        <v>453600</v>
      </c>
      <c r="V80" s="24" t="n">
        <f aca="false">V75*V76</f>
        <v>453600</v>
      </c>
      <c r="W80" s="24" t="n">
        <f aca="false">W75*W76</f>
        <v>453600</v>
      </c>
      <c r="X80" s="24" t="n">
        <f aca="false">X75*X76</f>
        <v>453600</v>
      </c>
      <c r="Y80" s="24" t="n">
        <f aca="false">Y75*Y76</f>
        <v>453600</v>
      </c>
      <c r="Z80" s="24" t="n">
        <f aca="false">Z75*Z76</f>
        <v>453600</v>
      </c>
    </row>
    <row r="81" customFormat="false" ht="15" hidden="false" customHeight="false" outlineLevel="0" collapsed="false">
      <c r="B81" s="34" t="s">
        <v>88</v>
      </c>
      <c r="C81" s="24" t="n">
        <f aca="false">C80*C79</f>
        <v>113400</v>
      </c>
      <c r="D81" s="24" t="n">
        <f aca="false">D80*D79</f>
        <v>226800</v>
      </c>
      <c r="E81" s="24" t="n">
        <f aca="false">E80*E79</f>
        <v>340200</v>
      </c>
      <c r="F81" s="24" t="n">
        <f aca="false">F80*F79</f>
        <v>453600</v>
      </c>
      <c r="G81" s="24" t="n">
        <f aca="false">G80*G79</f>
        <v>453600</v>
      </c>
      <c r="H81" s="24" t="n">
        <f aca="false">H80*H79</f>
        <v>453600</v>
      </c>
      <c r="I81" s="24" t="n">
        <f aca="false">I80*I79</f>
        <v>453600</v>
      </c>
      <c r="J81" s="24" t="n">
        <f aca="false">J80*J79</f>
        <v>453600</v>
      </c>
      <c r="K81" s="24" t="n">
        <f aca="false">K80*K79</f>
        <v>453600</v>
      </c>
      <c r="L81" s="24" t="n">
        <f aca="false">L80*L79</f>
        <v>453600</v>
      </c>
      <c r="M81" s="24" t="n">
        <f aca="false">M80*M79</f>
        <v>453600</v>
      </c>
      <c r="N81" s="24" t="n">
        <f aca="false">N80*N79</f>
        <v>453600</v>
      </c>
      <c r="O81" s="24" t="n">
        <f aca="false">O80*O79</f>
        <v>453600</v>
      </c>
      <c r="P81" s="24" t="n">
        <f aca="false">P80*P79</f>
        <v>453600</v>
      </c>
      <c r="Q81" s="24" t="n">
        <f aca="false">Q80*Q79</f>
        <v>453600</v>
      </c>
      <c r="R81" s="24" t="n">
        <f aca="false">R80*R79</f>
        <v>453600</v>
      </c>
      <c r="S81" s="24" t="n">
        <f aca="false">S80*S79</f>
        <v>453600</v>
      </c>
      <c r="T81" s="24" t="n">
        <f aca="false">T80*T79</f>
        <v>453600</v>
      </c>
      <c r="U81" s="24" t="n">
        <f aca="false">U80*U79</f>
        <v>453600</v>
      </c>
      <c r="V81" s="24" t="n">
        <f aca="false">V80*V79</f>
        <v>453600</v>
      </c>
      <c r="W81" s="24" t="n">
        <f aca="false">W80*W79</f>
        <v>453600</v>
      </c>
      <c r="X81" s="24" t="n">
        <f aca="false">X80*X79</f>
        <v>453600</v>
      </c>
      <c r="Y81" s="24" t="n">
        <f aca="false">Y80*Y79</f>
        <v>453600</v>
      </c>
      <c r="Z81" s="24" t="n">
        <f aca="false">Z80*Z79</f>
        <v>453600</v>
      </c>
    </row>
    <row r="82" customFormat="false" ht="15" hidden="false" customHeight="false" outlineLevel="0" collapsed="false">
      <c r="B82" s="34" t="s">
        <v>224</v>
      </c>
      <c r="C82" s="24" t="n">
        <f aca="false">C81*MIN(1,Workflows!$P$9*Assumptions!$B$30)</f>
        <v>102060</v>
      </c>
      <c r="D82" s="24" t="n">
        <f aca="false">D81*MIN(1,Workflows!$P$9*Assumptions!$B$30)</f>
        <v>204120</v>
      </c>
      <c r="E82" s="24" t="n">
        <f aca="false">E81*MIN(1,Workflows!$P$9*Assumptions!$B$30)</f>
        <v>306180</v>
      </c>
      <c r="F82" s="24" t="n">
        <f aca="false">F81*MIN(1,Workflows!$P$9*Assumptions!$B$30)</f>
        <v>408240</v>
      </c>
      <c r="G82" s="24" t="n">
        <f aca="false">G81*MIN(1,Workflows!$P$9*Assumptions!$B$30)</f>
        <v>408240</v>
      </c>
      <c r="H82" s="24" t="n">
        <f aca="false">H81*MIN(1,Workflows!$P$9*Assumptions!$B$30)</f>
        <v>408240</v>
      </c>
      <c r="I82" s="24" t="n">
        <f aca="false">I81*MIN(1,Workflows!$P$9*Assumptions!$B$30)</f>
        <v>408240</v>
      </c>
      <c r="J82" s="24" t="n">
        <f aca="false">J81*MIN(1,Workflows!$P$9*Assumptions!$B$30)</f>
        <v>408240</v>
      </c>
      <c r="K82" s="24" t="n">
        <f aca="false">K81*MIN(1,Workflows!$P$9*Assumptions!$B$30)</f>
        <v>408240</v>
      </c>
      <c r="L82" s="24" t="n">
        <f aca="false">L81*MIN(1,Workflows!$P$9*Assumptions!$B$30)</f>
        <v>408240</v>
      </c>
      <c r="M82" s="24" t="n">
        <f aca="false">M81*MIN(1,Workflows!$P$9*Assumptions!$B$30)</f>
        <v>408240</v>
      </c>
      <c r="N82" s="24" t="n">
        <f aca="false">N81*MIN(1,Workflows!$P$9*Assumptions!$B$30)</f>
        <v>408240</v>
      </c>
      <c r="O82" s="24" t="n">
        <f aca="false">O81*MIN(1,Workflows!$P$9*Assumptions!$B$30)</f>
        <v>408240</v>
      </c>
      <c r="P82" s="24" t="n">
        <f aca="false">P81*MIN(1,Workflows!$P$9*Assumptions!$B$30)</f>
        <v>408240</v>
      </c>
      <c r="Q82" s="24" t="n">
        <f aca="false">Q81*MIN(1,Workflows!$P$9*Assumptions!$B$30)</f>
        <v>408240</v>
      </c>
      <c r="R82" s="24" t="n">
        <f aca="false">R81*MIN(1,Workflows!$P$9*Assumptions!$B$30)</f>
        <v>408240</v>
      </c>
      <c r="S82" s="24" t="n">
        <f aca="false">S81*MIN(1,Workflows!$P$9*Assumptions!$B$30)</f>
        <v>408240</v>
      </c>
      <c r="T82" s="24" t="n">
        <f aca="false">T81*MIN(1,Workflows!$P$9*Assumptions!$B$30)</f>
        <v>408240</v>
      </c>
      <c r="U82" s="24" t="n">
        <f aca="false">U81*MIN(1,Workflows!$P$9*Assumptions!$B$30)</f>
        <v>408240</v>
      </c>
      <c r="V82" s="24" t="n">
        <f aca="false">V81*MIN(1,Workflows!$P$9*Assumptions!$B$30)</f>
        <v>408240</v>
      </c>
      <c r="W82" s="24" t="n">
        <f aca="false">W81*MIN(1,Workflows!$P$9*Assumptions!$B$30)</f>
        <v>408240</v>
      </c>
      <c r="X82" s="24" t="n">
        <f aca="false">X81*MIN(1,Workflows!$P$9*Assumptions!$B$30)</f>
        <v>408240</v>
      </c>
      <c r="Y82" s="24" t="n">
        <f aca="false">Y81*MIN(1,Workflows!$P$9*Assumptions!$B$30)</f>
        <v>408240</v>
      </c>
      <c r="Z82" s="24" t="n">
        <f aca="false">Z81*MIN(1,Workflows!$P$9*Assumptions!$B$30)</f>
        <v>408240</v>
      </c>
    </row>
    <row r="83" customFormat="false" ht="15" hidden="false" customHeight="false" outlineLevel="0" collapsed="false">
      <c r="B83" s="34" t="s">
        <v>225</v>
      </c>
      <c r="C83" s="46" t="n">
        <f aca="false">C75*C78</f>
        <v>80.37225</v>
      </c>
      <c r="D83" s="46" t="n">
        <f aca="false">D75*D78</f>
        <v>157.783028506291</v>
      </c>
      <c r="E83" s="46" t="n">
        <f aca="false">E75*E78</f>
        <v>232.314176391265</v>
      </c>
      <c r="F83" s="46" t="n">
        <f aca="false">F75*F78</f>
        <v>304.045524136822</v>
      </c>
      <c r="G83" s="46" t="n">
        <f aca="false">G75*G78</f>
        <v>298.443950505868</v>
      </c>
      <c r="H83" s="46" t="n">
        <f aca="false">H75*H78</f>
        <v>292.945577299363</v>
      </c>
      <c r="I83" s="46" t="n">
        <f aca="false">I75*I78</f>
        <v>287.548503207372</v>
      </c>
      <c r="J83" s="46" t="n">
        <f aca="false">J75*J78</f>
        <v>282.250861948684</v>
      </c>
      <c r="K83" s="46" t="n">
        <f aca="false">K75*K78</f>
        <v>277.050821625464</v>
      </c>
      <c r="L83" s="46" t="n">
        <f aca="false">L75*L78</f>
        <v>271.946584089795</v>
      </c>
      <c r="M83" s="46" t="n">
        <f aca="false">M75*M78</f>
        <v>266.936384321881</v>
      </c>
      <c r="N83" s="46" t="n">
        <f aca="false">N75*N78</f>
        <v>262.018489819718</v>
      </c>
      <c r="O83" s="46" t="n">
        <f aca="false">O75*O78</f>
        <v>257.1912</v>
      </c>
      <c r="P83" s="46" t="n">
        <f aca="false">P75*P78</f>
        <v>252.452845610066</v>
      </c>
      <c r="Q83" s="46" t="n">
        <f aca="false">Q75*Q78</f>
        <v>247.801788150683</v>
      </c>
      <c r="R83" s="46" t="n">
        <f aca="false">R75*R78</f>
        <v>243.236419309458</v>
      </c>
      <c r="S83" s="46" t="n">
        <f aca="false">S75*S78</f>
        <v>238.755160404694</v>
      </c>
      <c r="T83" s="46" t="n">
        <f aca="false">T75*T78</f>
        <v>234.356461839491</v>
      </c>
      <c r="U83" s="46" t="n">
        <f aca="false">U75*U78</f>
        <v>230.038802565898</v>
      </c>
      <c r="V83" s="46" t="n">
        <f aca="false">V75*V78</f>
        <v>225.800689558947</v>
      </c>
      <c r="W83" s="46" t="n">
        <f aca="false">W75*W78</f>
        <v>221.640657300371</v>
      </c>
      <c r="X83" s="46" t="n">
        <f aca="false">X75*X78</f>
        <v>217.557267271836</v>
      </c>
      <c r="Y83" s="46" t="n">
        <f aca="false">Y75*Y78</f>
        <v>213.549107457505</v>
      </c>
      <c r="Z83" s="46" t="n">
        <f aca="false">Z75*Z78</f>
        <v>209.614791855775</v>
      </c>
    </row>
    <row r="84" customFormat="false" ht="15" hidden="false" customHeight="false" outlineLevel="0" collapsed="false">
      <c r="B84" s="34" t="s">
        <v>32</v>
      </c>
      <c r="C84" s="24" t="n">
        <f aca="false">MAX(0,C82*Workflows!$Q$9-IF(Workflows!$V$9="Yes",0,C81*Workflows!$R$9*Assumptions!$B$31))/60</f>
        <v>2551.5</v>
      </c>
      <c r="D84" s="24" t="n">
        <f aca="false">MAX(0,D82*Workflows!$Q$9-IF(Workflows!$V$9="Yes",0,D81*Workflows!$R$9*Assumptions!$B$31))/60</f>
        <v>5103</v>
      </c>
      <c r="E84" s="24" t="n">
        <f aca="false">MAX(0,E82*Workflows!$Q$9-IF(Workflows!$V$9="Yes",0,E81*Workflows!$R$9*Assumptions!$B$31))/60</f>
        <v>7654.5</v>
      </c>
      <c r="F84" s="24" t="n">
        <f aca="false">MAX(0,F82*Workflows!$Q$9-IF(Workflows!$V$9="Yes",0,F81*Workflows!$R$9*Assumptions!$B$31))/60</f>
        <v>10206</v>
      </c>
      <c r="G84" s="24" t="n">
        <f aca="false">MAX(0,G82*Workflows!$Q$9-IF(Workflows!$V$9="Yes",0,G81*Workflows!$R$9*Assumptions!$B$31))/60</f>
        <v>10206</v>
      </c>
      <c r="H84" s="24" t="n">
        <f aca="false">MAX(0,H82*Workflows!$Q$9-IF(Workflows!$V$9="Yes",0,H81*Workflows!$R$9*Assumptions!$B$31))/60</f>
        <v>10206</v>
      </c>
      <c r="I84" s="24" t="n">
        <f aca="false">MAX(0,I82*Workflows!$Q$9-IF(Workflows!$V$9="Yes",0,I81*Workflows!$R$9*Assumptions!$B$31))/60</f>
        <v>10206</v>
      </c>
      <c r="J84" s="24" t="n">
        <f aca="false">MAX(0,J82*Workflows!$Q$9-IF(Workflows!$V$9="Yes",0,J81*Workflows!$R$9*Assumptions!$B$31))/60</f>
        <v>10206</v>
      </c>
      <c r="K84" s="24" t="n">
        <f aca="false">MAX(0,K82*Workflows!$Q$9-IF(Workflows!$V$9="Yes",0,K81*Workflows!$R$9*Assumptions!$B$31))/60</f>
        <v>10206</v>
      </c>
      <c r="L84" s="24" t="n">
        <f aca="false">MAX(0,L82*Workflows!$Q$9-IF(Workflows!$V$9="Yes",0,L81*Workflows!$R$9*Assumptions!$B$31))/60</f>
        <v>10206</v>
      </c>
      <c r="M84" s="24" t="n">
        <f aca="false">MAX(0,M82*Workflows!$Q$9-IF(Workflows!$V$9="Yes",0,M81*Workflows!$R$9*Assumptions!$B$31))/60</f>
        <v>10206</v>
      </c>
      <c r="N84" s="24" t="n">
        <f aca="false">MAX(0,N82*Workflows!$Q$9-IF(Workflows!$V$9="Yes",0,N81*Workflows!$R$9*Assumptions!$B$31))/60</f>
        <v>10206</v>
      </c>
      <c r="O84" s="24" t="n">
        <f aca="false">MAX(0,O82*Workflows!$Q$9-IF(Workflows!$V$9="Yes",0,O81*Workflows!$R$9*Assumptions!$B$31))/60</f>
        <v>10206</v>
      </c>
      <c r="P84" s="24" t="n">
        <f aca="false">MAX(0,P82*Workflows!$Q$9-IF(Workflows!$V$9="Yes",0,P81*Workflows!$R$9*Assumptions!$B$31))/60</f>
        <v>10206</v>
      </c>
      <c r="Q84" s="24" t="n">
        <f aca="false">MAX(0,Q82*Workflows!$Q$9-IF(Workflows!$V$9="Yes",0,Q81*Workflows!$R$9*Assumptions!$B$31))/60</f>
        <v>10206</v>
      </c>
      <c r="R84" s="24" t="n">
        <f aca="false">MAX(0,R82*Workflows!$Q$9-IF(Workflows!$V$9="Yes",0,R81*Workflows!$R$9*Assumptions!$B$31))/60</f>
        <v>10206</v>
      </c>
      <c r="S84" s="24" t="n">
        <f aca="false">MAX(0,S82*Workflows!$Q$9-IF(Workflows!$V$9="Yes",0,S81*Workflows!$R$9*Assumptions!$B$31))/60</f>
        <v>10206</v>
      </c>
      <c r="T84" s="24" t="n">
        <f aca="false">MAX(0,T82*Workflows!$Q$9-IF(Workflows!$V$9="Yes",0,T81*Workflows!$R$9*Assumptions!$B$31))/60</f>
        <v>10206</v>
      </c>
      <c r="U84" s="24" t="n">
        <f aca="false">MAX(0,U82*Workflows!$Q$9-IF(Workflows!$V$9="Yes",0,U81*Workflows!$R$9*Assumptions!$B$31))/60</f>
        <v>10206</v>
      </c>
      <c r="V84" s="24" t="n">
        <f aca="false">MAX(0,V82*Workflows!$Q$9-IF(Workflows!$V$9="Yes",0,V81*Workflows!$R$9*Assumptions!$B$31))/60</f>
        <v>10206</v>
      </c>
      <c r="W84" s="24" t="n">
        <f aca="false">MAX(0,W82*Workflows!$Q$9-IF(Workflows!$V$9="Yes",0,W81*Workflows!$R$9*Assumptions!$B$31))/60</f>
        <v>10206</v>
      </c>
      <c r="X84" s="24" t="n">
        <f aca="false">MAX(0,X82*Workflows!$Q$9-IF(Workflows!$V$9="Yes",0,X81*Workflows!$R$9*Assumptions!$B$31))/60</f>
        <v>10206</v>
      </c>
      <c r="Y84" s="24" t="n">
        <f aca="false">MAX(0,Y82*Workflows!$Q$9-IF(Workflows!$V$9="Yes",0,Y81*Workflows!$R$9*Assumptions!$B$31))/60</f>
        <v>10206</v>
      </c>
      <c r="Z84" s="24" t="n">
        <f aca="false">MAX(0,Z82*Workflows!$Q$9-IF(Workflows!$V$9="Yes",0,Z81*Workflows!$R$9*Assumptions!$B$31))/60</f>
        <v>10206</v>
      </c>
    </row>
    <row r="85" customFormat="false" ht="15" hidden="false" customHeight="false" outlineLevel="0" collapsed="false">
      <c r="B85" s="34" t="s">
        <v>34</v>
      </c>
      <c r="C85" s="46" t="n">
        <f aca="false">C84*Workflows!$S$9</f>
        <v>114817.5</v>
      </c>
      <c r="D85" s="46" t="n">
        <f aca="false">D84*Workflows!$S$9</f>
        <v>229635</v>
      </c>
      <c r="E85" s="46" t="n">
        <f aca="false">E84*Workflows!$S$9</f>
        <v>344452.5</v>
      </c>
      <c r="F85" s="46" t="n">
        <f aca="false">F84*Workflows!$S$9</f>
        <v>459270</v>
      </c>
      <c r="G85" s="46" t="n">
        <f aca="false">G84*Workflows!$S$9</f>
        <v>459270</v>
      </c>
      <c r="H85" s="46" t="n">
        <f aca="false">H84*Workflows!$S$9</f>
        <v>459270</v>
      </c>
      <c r="I85" s="46" t="n">
        <f aca="false">I84*Workflows!$S$9</f>
        <v>459270</v>
      </c>
      <c r="J85" s="46" t="n">
        <f aca="false">J84*Workflows!$S$9</f>
        <v>459270</v>
      </c>
      <c r="K85" s="46" t="n">
        <f aca="false">K84*Workflows!$S$9</f>
        <v>459270</v>
      </c>
      <c r="L85" s="46" t="n">
        <f aca="false">L84*Workflows!$S$9</f>
        <v>459270</v>
      </c>
      <c r="M85" s="46" t="n">
        <f aca="false">M84*Workflows!$S$9</f>
        <v>459270</v>
      </c>
      <c r="N85" s="46" t="n">
        <f aca="false">N84*Workflows!$S$9</f>
        <v>459270</v>
      </c>
      <c r="O85" s="46" t="n">
        <f aca="false">O84*Workflows!$S$9</f>
        <v>459270</v>
      </c>
      <c r="P85" s="46" t="n">
        <f aca="false">P84*Workflows!$S$9</f>
        <v>459270</v>
      </c>
      <c r="Q85" s="46" t="n">
        <f aca="false">Q84*Workflows!$S$9</f>
        <v>459270</v>
      </c>
      <c r="R85" s="46" t="n">
        <f aca="false">R84*Workflows!$S$9</f>
        <v>459270</v>
      </c>
      <c r="S85" s="46" t="n">
        <f aca="false">S84*Workflows!$S$9</f>
        <v>459270</v>
      </c>
      <c r="T85" s="46" t="n">
        <f aca="false">T84*Workflows!$S$9</f>
        <v>459270</v>
      </c>
      <c r="U85" s="46" t="n">
        <f aca="false">U84*Workflows!$S$9</f>
        <v>459270</v>
      </c>
      <c r="V85" s="46" t="n">
        <f aca="false">V84*Workflows!$S$9</f>
        <v>459270</v>
      </c>
      <c r="W85" s="46" t="n">
        <f aca="false">W84*Workflows!$S$9</f>
        <v>459270</v>
      </c>
      <c r="X85" s="46" t="n">
        <f aca="false">X84*Workflows!$S$9</f>
        <v>459270</v>
      </c>
      <c r="Y85" s="46" t="n">
        <f aca="false">Y84*Workflows!$S$9</f>
        <v>459270</v>
      </c>
      <c r="Z85" s="46" t="n">
        <f aca="false">Z84*Workflows!$S$9</f>
        <v>459270</v>
      </c>
    </row>
    <row r="86" customFormat="false" ht="15" hidden="false" customHeight="false" outlineLevel="0" collapsed="false">
      <c r="B86" s="34" t="inlineStr">
        <is>
          <t>Planned benefit ($)</t>
        </is>
      </c>
      <c r="C86" s="46" t="n">
        <f aca="false">IF(C$4&gt;=Workflows!$U$9+Assumptions!$B$33,C85*MIN(1,Workflows!$T$9*Assumptions!$B$32),0)</f>
        <v>0</v>
      </c>
      <c r="D86" s="46" t="n">
        <f aca="false">IF(D$4&gt;=Workflows!$U$9+Assumptions!$B$33,D85*MIN(1,Workflows!$T$9*Assumptions!$B$32),0)</f>
        <v>0</v>
      </c>
      <c r="E86" s="46" t="n">
        <f aca="false">IF(E$4&gt;=Workflows!$U$9+Assumptions!$B$33,E85*MIN(1,Workflows!$T$9*Assumptions!$B$32),0)</f>
        <v>0</v>
      </c>
      <c r="F86" s="46" t="n">
        <f aca="false">IF(F$4&gt;=Workflows!$U$9+Assumptions!$B$33,F85*MIN(1,Workflows!$T$9*Assumptions!$B$32),0)</f>
        <v>0</v>
      </c>
      <c r="G86" s="46" t="n">
        <f aca="false">IF(G$4&gt;=Workflows!$U$9+Assumptions!$B$33,G85*MIN(1,Workflows!$T$9*Assumptions!$B$32),0)</f>
        <v>0</v>
      </c>
      <c r="H86" s="46" t="n">
        <f aca="false">IF(H$4&gt;=Workflows!$U$9+Assumptions!$B$33,H85*MIN(1,Workflows!$T$9*Assumptions!$B$32),0)</f>
        <v>137781</v>
      </c>
      <c r="I86" s="46" t="n">
        <f aca="false">IF(I$4&gt;=Workflows!$U$9+Assumptions!$B$33,I85*MIN(1,Workflows!$T$9*Assumptions!$B$32),0)</f>
        <v>137781</v>
      </c>
      <c r="J86" s="46" t="n">
        <f aca="false">IF(J$4&gt;=Workflows!$U$9+Assumptions!$B$33,J85*MIN(1,Workflows!$T$9*Assumptions!$B$32),0)</f>
        <v>137781</v>
      </c>
      <c r="K86" s="46" t="n">
        <f aca="false">IF(K$4&gt;=Workflows!$U$9+Assumptions!$B$33,K85*MIN(1,Workflows!$T$9*Assumptions!$B$32),0)</f>
        <v>137781</v>
      </c>
      <c r="L86" s="46" t="n">
        <f aca="false">IF(L$4&gt;=Workflows!$U$9+Assumptions!$B$33,L85*MIN(1,Workflows!$T$9*Assumptions!$B$32),0)</f>
        <v>137781</v>
      </c>
      <c r="M86" s="46" t="n">
        <f aca="false">IF(M$4&gt;=Workflows!$U$9+Assumptions!$B$33,M85*MIN(1,Workflows!$T$9*Assumptions!$B$32),0)</f>
        <v>137781</v>
      </c>
      <c r="N86" s="46" t="n">
        <f aca="false">IF(N$4&gt;=Workflows!$U$9+Assumptions!$B$33,N85*MIN(1,Workflows!$T$9*Assumptions!$B$32),0)</f>
        <v>137781</v>
      </c>
      <c r="O86" s="46" t="n">
        <f aca="false">IF(O$4&gt;=Workflows!$U$9+Assumptions!$B$33,O85*MIN(1,Workflows!$T$9*Assumptions!$B$32),0)</f>
        <v>137781</v>
      </c>
      <c r="P86" s="46" t="n">
        <f aca="false">IF(P$4&gt;=Workflows!$U$9+Assumptions!$B$33,P85*MIN(1,Workflows!$T$9*Assumptions!$B$32),0)</f>
        <v>137781</v>
      </c>
      <c r="Q86" s="46" t="n">
        <f aca="false">IF(Q$4&gt;=Workflows!$U$9+Assumptions!$B$33,Q85*MIN(1,Workflows!$T$9*Assumptions!$B$32),0)</f>
        <v>137781</v>
      </c>
      <c r="R86" s="46" t="n">
        <f aca="false">IF(R$4&gt;=Workflows!$U$9+Assumptions!$B$33,R85*MIN(1,Workflows!$T$9*Assumptions!$B$32),0)</f>
        <v>137781</v>
      </c>
      <c r="S86" s="46" t="n">
        <f aca="false">IF(S$4&gt;=Workflows!$U$9+Assumptions!$B$33,S85*MIN(1,Workflows!$T$9*Assumptions!$B$32),0)</f>
        <v>137781</v>
      </c>
      <c r="T86" s="46" t="n">
        <f aca="false">IF(T$4&gt;=Workflows!$U$9+Assumptions!$B$33,T85*MIN(1,Workflows!$T$9*Assumptions!$B$32),0)</f>
        <v>137781</v>
      </c>
      <c r="U86" s="46" t="n">
        <f aca="false">IF(U$4&gt;=Workflows!$U$9+Assumptions!$B$33,U85*MIN(1,Workflows!$T$9*Assumptions!$B$32),0)</f>
        <v>137781</v>
      </c>
      <c r="V86" s="46" t="n">
        <f aca="false">IF(V$4&gt;=Workflows!$U$9+Assumptions!$B$33,V85*MIN(1,Workflows!$T$9*Assumptions!$B$32),0)</f>
        <v>137781</v>
      </c>
      <c r="W86" s="46" t="n">
        <f aca="false">IF(W$4&gt;=Workflows!$U$9+Assumptions!$B$33,W85*MIN(1,Workflows!$T$9*Assumptions!$B$32),0)</f>
        <v>137781</v>
      </c>
      <c r="X86" s="46" t="n">
        <f aca="false">IF(X$4&gt;=Workflows!$U$9+Assumptions!$B$33,X85*MIN(1,Workflows!$T$9*Assumptions!$B$32),0)</f>
        <v>137781</v>
      </c>
      <c r="Y86" s="46" t="n">
        <f aca="false">IF(Y$4&gt;=Workflows!$U$9+Assumptions!$B$33,Y85*MIN(1,Workflows!$T$9*Assumptions!$B$32),0)</f>
        <v>137781</v>
      </c>
      <c r="Z86" s="46" t="n">
        <f aca="false">IF(Z$4&gt;=Workflows!$U$9+Assumptions!$B$33,Z85*MIN(1,Workflows!$T$9*Assumptions!$B$32),0)</f>
        <v>137781</v>
      </c>
    </row>
    <row r="87" customFormat="false" ht="15" hidden="false" customHeight="false" outlineLevel="0" collapsed="false">
      <c r="B87" s="34" t="s">
        <v>226</v>
      </c>
      <c r="C87" s="46" t="n">
        <f aca="false">IF(Workflows!$V$9="Yes",C81*Workflows!$R$9*Assumptions!$B$31/60*Workflows!$S$9,0)</f>
        <v>0</v>
      </c>
      <c r="D87" s="46" t="n">
        <f aca="false">IF(Workflows!$V$9="Yes",D81*Workflows!$R$9*Assumptions!$B$31/60*Workflows!$S$9,0)</f>
        <v>0</v>
      </c>
      <c r="E87" s="46" t="n">
        <f aca="false">IF(Workflows!$V$9="Yes",E81*Workflows!$R$9*Assumptions!$B$31/60*Workflows!$S$9,0)</f>
        <v>0</v>
      </c>
      <c r="F87" s="46" t="n">
        <f aca="false">IF(Workflows!$V$9="Yes",F81*Workflows!$R$9*Assumptions!$B$31/60*Workflows!$S$9,0)</f>
        <v>0</v>
      </c>
      <c r="G87" s="46" t="n">
        <f aca="false">IF(Workflows!$V$9="Yes",G81*Workflows!$R$9*Assumptions!$B$31/60*Workflows!$S$9,0)</f>
        <v>0</v>
      </c>
      <c r="H87" s="46" t="n">
        <f aca="false">IF(Workflows!$V$9="Yes",H81*Workflows!$R$9*Assumptions!$B$31/60*Workflows!$S$9,0)</f>
        <v>0</v>
      </c>
      <c r="I87" s="46" t="n">
        <f aca="false">IF(Workflows!$V$9="Yes",I81*Workflows!$R$9*Assumptions!$B$31/60*Workflows!$S$9,0)</f>
        <v>0</v>
      </c>
      <c r="J87" s="46" t="n">
        <f aca="false">IF(Workflows!$V$9="Yes",J81*Workflows!$R$9*Assumptions!$B$31/60*Workflows!$S$9,0)</f>
        <v>0</v>
      </c>
      <c r="K87" s="46" t="n">
        <f aca="false">IF(Workflows!$V$9="Yes",K81*Workflows!$R$9*Assumptions!$B$31/60*Workflows!$S$9,0)</f>
        <v>0</v>
      </c>
      <c r="L87" s="46" t="n">
        <f aca="false">IF(Workflows!$V$9="Yes",L81*Workflows!$R$9*Assumptions!$B$31/60*Workflows!$S$9,0)</f>
        <v>0</v>
      </c>
      <c r="M87" s="46" t="n">
        <f aca="false">IF(Workflows!$V$9="Yes",M81*Workflows!$R$9*Assumptions!$B$31/60*Workflows!$S$9,0)</f>
        <v>0</v>
      </c>
      <c r="N87" s="46" t="n">
        <f aca="false">IF(Workflows!$V$9="Yes",N81*Workflows!$R$9*Assumptions!$B$31/60*Workflows!$S$9,0)</f>
        <v>0</v>
      </c>
      <c r="O87" s="46" t="n">
        <f aca="false">IF(Workflows!$V$9="Yes",O81*Workflows!$R$9*Assumptions!$B$31/60*Workflows!$S$9,0)</f>
        <v>0</v>
      </c>
      <c r="P87" s="46" t="n">
        <f aca="false">IF(Workflows!$V$9="Yes",P81*Workflows!$R$9*Assumptions!$B$31/60*Workflows!$S$9,0)</f>
        <v>0</v>
      </c>
      <c r="Q87" s="46" t="n">
        <f aca="false">IF(Workflows!$V$9="Yes",Q81*Workflows!$R$9*Assumptions!$B$31/60*Workflows!$S$9,0)</f>
        <v>0</v>
      </c>
      <c r="R87" s="46" t="n">
        <f aca="false">IF(Workflows!$V$9="Yes",R81*Workflows!$R$9*Assumptions!$B$31/60*Workflows!$S$9,0)</f>
        <v>0</v>
      </c>
      <c r="S87" s="46" t="n">
        <f aca="false">IF(Workflows!$V$9="Yes",S81*Workflows!$R$9*Assumptions!$B$31/60*Workflows!$S$9,0)</f>
        <v>0</v>
      </c>
      <c r="T87" s="46" t="n">
        <f aca="false">IF(Workflows!$V$9="Yes",T81*Workflows!$R$9*Assumptions!$B$31/60*Workflows!$S$9,0)</f>
        <v>0</v>
      </c>
      <c r="U87" s="46" t="n">
        <f aca="false">IF(Workflows!$V$9="Yes",U81*Workflows!$R$9*Assumptions!$B$31/60*Workflows!$S$9,0)</f>
        <v>0</v>
      </c>
      <c r="V87" s="46" t="n">
        <f aca="false">IF(Workflows!$V$9="Yes",V81*Workflows!$R$9*Assumptions!$B$31/60*Workflows!$S$9,0)</f>
        <v>0</v>
      </c>
      <c r="W87" s="46" t="n">
        <f aca="false">IF(Workflows!$V$9="Yes",W81*Workflows!$R$9*Assumptions!$B$31/60*Workflows!$S$9,0)</f>
        <v>0</v>
      </c>
      <c r="X87" s="46" t="n">
        <f aca="false">IF(Workflows!$V$9="Yes",X81*Workflows!$R$9*Assumptions!$B$31/60*Workflows!$S$9,0)</f>
        <v>0</v>
      </c>
      <c r="Y87" s="46" t="n">
        <f aca="false">IF(Workflows!$V$9="Yes",Y81*Workflows!$R$9*Assumptions!$B$31/60*Workflows!$S$9,0)</f>
        <v>0</v>
      </c>
      <c r="Z87" s="46" t="n">
        <f aca="false">IF(Workflows!$V$9="Yes",Z81*Workflows!$R$9*Assumptions!$B$31/60*Workflows!$S$9,0)</f>
        <v>0</v>
      </c>
    </row>
    <row r="88" customFormat="false" ht="15" hidden="false" customHeight="false" outlineLevel="0" collapsed="false">
      <c r="B88" s="34" t="s">
        <v>227</v>
      </c>
      <c r="C88" s="24" t="n">
        <f aca="false">C80-C81</f>
        <v>0</v>
      </c>
      <c r="D88" s="24" t="n">
        <f aca="false">D80-D81</f>
        <v>0</v>
      </c>
      <c r="E88" s="24" t="n">
        <f aca="false">E80-E81</f>
        <v>0</v>
      </c>
      <c r="F88" s="24" t="n">
        <f aca="false">F80-F81</f>
        <v>0</v>
      </c>
      <c r="G88" s="24" t="n">
        <f aca="false">G80-G81</f>
        <v>0</v>
      </c>
      <c r="H88" s="24" t="n">
        <f aca="false">H80-H81</f>
        <v>0</v>
      </c>
      <c r="I88" s="24" t="n">
        <f aca="false">I80-I81</f>
        <v>0</v>
      </c>
      <c r="J88" s="24" t="n">
        <f aca="false">J80-J81</f>
        <v>0</v>
      </c>
      <c r="K88" s="24" t="n">
        <f aca="false">K80-K81</f>
        <v>0</v>
      </c>
      <c r="L88" s="24" t="n">
        <f aca="false">L80-L81</f>
        <v>0</v>
      </c>
      <c r="M88" s="24" t="n">
        <f aca="false">M80-M81</f>
        <v>0</v>
      </c>
      <c r="N88" s="24" t="n">
        <f aca="false">N80-N81</f>
        <v>0</v>
      </c>
      <c r="O88" s="24" t="n">
        <f aca="false">O80-O81</f>
        <v>0</v>
      </c>
      <c r="P88" s="24" t="n">
        <f aca="false">P80-P81</f>
        <v>0</v>
      </c>
      <c r="Q88" s="24" t="n">
        <f aca="false">Q80-Q81</f>
        <v>0</v>
      </c>
      <c r="R88" s="24" t="n">
        <f aca="false">R80-R81</f>
        <v>0</v>
      </c>
      <c r="S88" s="24" t="n">
        <f aca="false">S80-S81</f>
        <v>0</v>
      </c>
      <c r="T88" s="24" t="n">
        <f aca="false">T80-T81</f>
        <v>0</v>
      </c>
      <c r="U88" s="24" t="n">
        <f aca="false">U80-U81</f>
        <v>0</v>
      </c>
      <c r="V88" s="24" t="n">
        <f aca="false">V80-V81</f>
        <v>0</v>
      </c>
      <c r="W88" s="24" t="n">
        <f aca="false">W80-W81</f>
        <v>0</v>
      </c>
      <c r="X88" s="24" t="n">
        <f aca="false">X80-X81</f>
        <v>0</v>
      </c>
      <c r="Y88" s="24" t="n">
        <f aca="false">Y80-Y81</f>
        <v>0</v>
      </c>
      <c r="Z88" s="24" t="n">
        <f aca="false">Z80-Z81</f>
        <v>0</v>
      </c>
    </row>
    <row r="89" customFormat="false" ht="15" hidden="false" customHeight="false" outlineLevel="0" collapsed="false">
      <c r="B89" s="34" t="s">
        <v>228</v>
      </c>
      <c r="C89" s="46" t="n">
        <f aca="false">C88*C77</f>
        <v>0</v>
      </c>
      <c r="D89" s="46" t="n">
        <f aca="false">D88*D77</f>
        <v>0</v>
      </c>
      <c r="E89" s="46" t="n">
        <f aca="false">E88*E77</f>
        <v>0</v>
      </c>
      <c r="F89" s="46" t="n">
        <f aca="false">F88*F77</f>
        <v>0</v>
      </c>
      <c r="G89" s="46" t="n">
        <f aca="false">G88*G77</f>
        <v>0</v>
      </c>
      <c r="H89" s="46" t="n">
        <f aca="false">H88*H77</f>
        <v>0</v>
      </c>
      <c r="I89" s="46" t="n">
        <f aca="false">I88*I77</f>
        <v>0</v>
      </c>
      <c r="J89" s="46" t="n">
        <f aca="false">J88*J77</f>
        <v>0</v>
      </c>
      <c r="K89" s="46" t="n">
        <f aca="false">K88*K77</f>
        <v>0</v>
      </c>
      <c r="L89" s="46" t="n">
        <f aca="false">L88*L77</f>
        <v>0</v>
      </c>
      <c r="M89" s="46" t="n">
        <f aca="false">M88*M77</f>
        <v>0</v>
      </c>
      <c r="N89" s="46" t="n">
        <f aca="false">N88*N77</f>
        <v>0</v>
      </c>
      <c r="O89" s="46" t="n">
        <f aca="false">O88*O77</f>
        <v>0</v>
      </c>
      <c r="P89" s="46" t="n">
        <f aca="false">P88*P77</f>
        <v>0</v>
      </c>
      <c r="Q89" s="46" t="n">
        <f aca="false">Q88*Q77</f>
        <v>0</v>
      </c>
      <c r="R89" s="46" t="n">
        <f aca="false">R88*R77</f>
        <v>0</v>
      </c>
      <c r="S89" s="46" t="n">
        <f aca="false">S88*S77</f>
        <v>0</v>
      </c>
      <c r="T89" s="46" t="n">
        <f aca="false">T88*T77</f>
        <v>0</v>
      </c>
      <c r="U89" s="46" t="n">
        <f aca="false">U88*U77</f>
        <v>0</v>
      </c>
      <c r="V89" s="46" t="n">
        <f aca="false">V88*V77</f>
        <v>0</v>
      </c>
      <c r="W89" s="46" t="n">
        <f aca="false">W88*W77</f>
        <v>0</v>
      </c>
      <c r="X89" s="46" t="n">
        <f aca="false">X88*X77</f>
        <v>0</v>
      </c>
      <c r="Y89" s="46" t="n">
        <f aca="false">Y88*Y77</f>
        <v>0</v>
      </c>
      <c r="Z89" s="46" t="n">
        <f aca="false">Z88*Z77</f>
        <v>0</v>
      </c>
    </row>
    <row r="90" customFormat="false" ht="15" hidden="false" customHeight="false" outlineLevel="0" collapsed="false">
      <c r="B90" s="34" t="inlineStr">
        <is>
          <t>Planned benefit lost to cap ($)</t>
        </is>
      </c>
      <c r="C90" s="46" t="n">
        <f aca="false">IF(C81=0,0,C88/C81*C86)</f>
        <v>0</v>
      </c>
      <c r="D90" s="46" t="n">
        <f aca="false">IF(D81=0,0,D88/D81*D86)</f>
        <v>0</v>
      </c>
      <c r="E90" s="46" t="n">
        <f aca="false">IF(E81=0,0,E88/E81*E86)</f>
        <v>0</v>
      </c>
      <c r="F90" s="46" t="n">
        <f aca="false">IF(F81=0,0,F88/F81*F86)</f>
        <v>0</v>
      </c>
      <c r="G90" s="46" t="n">
        <f aca="false">IF(G81=0,0,G88/G81*G86)</f>
        <v>0</v>
      </c>
      <c r="H90" s="46" t="n">
        <f aca="false">IF(H81=0,0,H88/H81*H86)</f>
        <v>0</v>
      </c>
      <c r="I90" s="46" t="n">
        <f aca="false">IF(I81=0,0,I88/I81*I86)</f>
        <v>0</v>
      </c>
      <c r="J90" s="46" t="n">
        <f aca="false">IF(J81=0,0,J88/J81*J86)</f>
        <v>0</v>
      </c>
      <c r="K90" s="46" t="n">
        <f aca="false">IF(K81=0,0,K88/K81*K86)</f>
        <v>0</v>
      </c>
      <c r="L90" s="46" t="n">
        <f aca="false">IF(L81=0,0,L88/L81*L86)</f>
        <v>0</v>
      </c>
      <c r="M90" s="46" t="n">
        <f aca="false">IF(M81=0,0,M88/M81*M86)</f>
        <v>0</v>
      </c>
      <c r="N90" s="46" t="n">
        <f aca="false">IF(N81=0,0,N88/N81*N86)</f>
        <v>0</v>
      </c>
      <c r="O90" s="46" t="n">
        <f aca="false">IF(O81=0,0,O88/O81*O86)</f>
        <v>0</v>
      </c>
      <c r="P90" s="46" t="n">
        <f aca="false">IF(P81=0,0,P88/P81*P86)</f>
        <v>0</v>
      </c>
      <c r="Q90" s="46" t="n">
        <f aca="false">IF(Q81=0,0,Q88/Q81*Q86)</f>
        <v>0</v>
      </c>
      <c r="R90" s="46" t="n">
        <f aca="false">IF(R81=0,0,R88/R81*R86)</f>
        <v>0</v>
      </c>
      <c r="S90" s="46" t="n">
        <f aca="false">IF(S81=0,0,S88/S81*S86)</f>
        <v>0</v>
      </c>
      <c r="T90" s="46" t="n">
        <f aca="false">IF(T81=0,0,T88/T81*T86)</f>
        <v>0</v>
      </c>
      <c r="U90" s="46" t="n">
        <f aca="false">IF(U81=0,0,U88/U81*U86)</f>
        <v>0</v>
      </c>
      <c r="V90" s="46" t="n">
        <f aca="false">IF(V81=0,0,V88/V81*V86)</f>
        <v>0</v>
      </c>
      <c r="W90" s="46" t="n">
        <f aca="false">IF(W81=0,0,W88/W81*W86)</f>
        <v>0</v>
      </c>
      <c r="X90" s="46" t="n">
        <f aca="false">IF(X81=0,0,X88/X81*X86)</f>
        <v>0</v>
      </c>
      <c r="Y90" s="46" t="n">
        <f aca="false">IF(Y81=0,0,Y88/Y81*Y86)</f>
        <v>0</v>
      </c>
      <c r="Z90" s="46" t="n">
        <f aca="false">IF(Z81=0,0,Z88/Z81*Z86)</f>
        <v>0</v>
      </c>
    </row>
    <row r="92" customFormat="false" ht="15" hidden="false" customHeight="false" outlineLevel="0" collapsed="false">
      <c r="A92" s="50" t="str">
        <f aca="false">Workflows!A10</f>
        <v>Document questions</v>
      </c>
      <c r="B92" s="34" t="s">
        <v>219</v>
      </c>
      <c r="C92" s="24" t="n">
        <f aca="false">Workflows!$D$10*MIN(1,Workflows!$E$10*Assumptions!$B$26)*MIN(1,C$4/MAX(1,Workflows!$F$10))</f>
        <v>83.3333333333333</v>
      </c>
      <c r="D92" s="24" t="n">
        <f aca="false">Workflows!$D$10*MIN(1,Workflows!$E$10*Assumptions!$B$26)*MIN(1,D$4/MAX(1,Workflows!$F$10))</f>
        <v>166.666666666667</v>
      </c>
      <c r="E92" s="24" t="n">
        <f aca="false">Workflows!$D$10*MIN(1,Workflows!$E$10*Assumptions!$B$26)*MIN(1,E$4/MAX(1,Workflows!$F$10))</f>
        <v>250</v>
      </c>
      <c r="F92" s="24" t="n">
        <f aca="false">Workflows!$D$10*MIN(1,Workflows!$E$10*Assumptions!$B$26)*MIN(1,F$4/MAX(1,Workflows!$F$10))</f>
        <v>333.333333333333</v>
      </c>
      <c r="G92" s="24" t="n">
        <f aca="false">Workflows!$D$10*MIN(1,Workflows!$E$10*Assumptions!$B$26)*MIN(1,G$4/MAX(1,Workflows!$F$10))</f>
        <v>416.666666666667</v>
      </c>
      <c r="H92" s="24" t="n">
        <f aca="false">Workflows!$D$10*MIN(1,Workflows!$E$10*Assumptions!$B$26)*MIN(1,H$4/MAX(1,Workflows!$F$10))</f>
        <v>500</v>
      </c>
      <c r="I92" s="24" t="n">
        <f aca="false">Workflows!$D$10*MIN(1,Workflows!$E$10*Assumptions!$B$26)*MIN(1,I$4/MAX(1,Workflows!$F$10))</f>
        <v>583.333333333333</v>
      </c>
      <c r="J92" s="24" t="n">
        <f aca="false">Workflows!$D$10*MIN(1,Workflows!$E$10*Assumptions!$B$26)*MIN(1,J$4/MAX(1,Workflows!$F$10))</f>
        <v>666.666666666667</v>
      </c>
      <c r="K92" s="24" t="n">
        <f aca="false">Workflows!$D$10*MIN(1,Workflows!$E$10*Assumptions!$B$26)*MIN(1,K$4/MAX(1,Workflows!$F$10))</f>
        <v>750</v>
      </c>
      <c r="L92" s="24" t="n">
        <f aca="false">Workflows!$D$10*MIN(1,Workflows!$E$10*Assumptions!$B$26)*MIN(1,L$4/MAX(1,Workflows!$F$10))</f>
        <v>750</v>
      </c>
      <c r="M92" s="24" t="n">
        <f aca="false">Workflows!$D$10*MIN(1,Workflows!$E$10*Assumptions!$B$26)*MIN(1,M$4/MAX(1,Workflows!$F$10))</f>
        <v>750</v>
      </c>
      <c r="N92" s="24" t="n">
        <f aca="false">Workflows!$D$10*MIN(1,Workflows!$E$10*Assumptions!$B$26)*MIN(1,N$4/MAX(1,Workflows!$F$10))</f>
        <v>750</v>
      </c>
      <c r="O92" s="24" t="n">
        <f aca="false">Workflows!$D$10*MIN(1,Workflows!$E$10*Assumptions!$B$26)*MIN(1,O$4/MAX(1,Workflows!$F$10))</f>
        <v>750</v>
      </c>
      <c r="P92" s="24" t="n">
        <f aca="false">Workflows!$D$10*MIN(1,Workflows!$E$10*Assumptions!$B$26)*MIN(1,P$4/MAX(1,Workflows!$F$10))</f>
        <v>750</v>
      </c>
      <c r="Q92" s="24" t="n">
        <f aca="false">Workflows!$D$10*MIN(1,Workflows!$E$10*Assumptions!$B$26)*MIN(1,Q$4/MAX(1,Workflows!$F$10))</f>
        <v>750</v>
      </c>
      <c r="R92" s="24" t="n">
        <f aca="false">Workflows!$D$10*MIN(1,Workflows!$E$10*Assumptions!$B$26)*MIN(1,R$4/MAX(1,Workflows!$F$10))</f>
        <v>750</v>
      </c>
      <c r="S92" s="24" t="n">
        <f aca="false">Workflows!$D$10*MIN(1,Workflows!$E$10*Assumptions!$B$26)*MIN(1,S$4/MAX(1,Workflows!$F$10))</f>
        <v>750</v>
      </c>
      <c r="T92" s="24" t="n">
        <f aca="false">Workflows!$D$10*MIN(1,Workflows!$E$10*Assumptions!$B$26)*MIN(1,T$4/MAX(1,Workflows!$F$10))</f>
        <v>750</v>
      </c>
      <c r="U92" s="24" t="n">
        <f aca="false">Workflows!$D$10*MIN(1,Workflows!$E$10*Assumptions!$B$26)*MIN(1,U$4/MAX(1,Workflows!$F$10))</f>
        <v>750</v>
      </c>
      <c r="V92" s="24" t="n">
        <f aca="false">Workflows!$D$10*MIN(1,Workflows!$E$10*Assumptions!$B$26)*MIN(1,V$4/MAX(1,Workflows!$F$10))</f>
        <v>750</v>
      </c>
      <c r="W92" s="24" t="n">
        <f aca="false">Workflows!$D$10*MIN(1,Workflows!$E$10*Assumptions!$B$26)*MIN(1,W$4/MAX(1,Workflows!$F$10))</f>
        <v>750</v>
      </c>
      <c r="X92" s="24" t="n">
        <f aca="false">Workflows!$D$10*MIN(1,Workflows!$E$10*Assumptions!$B$26)*MIN(1,X$4/MAX(1,Workflows!$F$10))</f>
        <v>750</v>
      </c>
      <c r="Y92" s="24" t="n">
        <f aca="false">Workflows!$D$10*MIN(1,Workflows!$E$10*Assumptions!$B$26)*MIN(1,Y$4/MAX(1,Workflows!$F$10))</f>
        <v>750</v>
      </c>
      <c r="Z92" s="24" t="n">
        <f aca="false">Workflows!$D$10*MIN(1,Workflows!$E$10*Assumptions!$B$26)*MIN(1,Z$4/MAX(1,Workflows!$F$10))</f>
        <v>750</v>
      </c>
    </row>
    <row r="93" customFormat="false" ht="15" hidden="false" customHeight="false" outlineLevel="0" collapsed="false">
      <c r="A93" s="51" t="str">
        <f aca="false">Workflows!B10</f>
        <v>General staff</v>
      </c>
      <c r="B93" s="34" t="s">
        <v>220</v>
      </c>
      <c r="C93" s="24" t="n">
        <f aca="false">Workflows!$G$10*Assumptions!$B$5*Assumptions!$B$27</f>
        <v>105</v>
      </c>
      <c r="D93" s="24" t="n">
        <f aca="false">Workflows!$G$10*Assumptions!$B$5*Assumptions!$B$27</f>
        <v>105</v>
      </c>
      <c r="E93" s="24" t="n">
        <f aca="false">Workflows!$G$10*Assumptions!$B$5*Assumptions!$B$27</f>
        <v>105</v>
      </c>
      <c r="F93" s="24" t="n">
        <f aca="false">Workflows!$G$10*Assumptions!$B$5*Assumptions!$B$27</f>
        <v>105</v>
      </c>
      <c r="G93" s="24" t="n">
        <f aca="false">Workflows!$G$10*Assumptions!$B$5*Assumptions!$B$27</f>
        <v>105</v>
      </c>
      <c r="H93" s="24" t="n">
        <f aca="false">Workflows!$G$10*Assumptions!$B$5*Assumptions!$B$27</f>
        <v>105</v>
      </c>
      <c r="I93" s="24" t="n">
        <f aca="false">Workflows!$G$10*Assumptions!$B$5*Assumptions!$B$27</f>
        <v>105</v>
      </c>
      <c r="J93" s="24" t="n">
        <f aca="false">Workflows!$G$10*Assumptions!$B$5*Assumptions!$B$27</f>
        <v>105</v>
      </c>
      <c r="K93" s="24" t="n">
        <f aca="false">Workflows!$G$10*Assumptions!$B$5*Assumptions!$B$27</f>
        <v>105</v>
      </c>
      <c r="L93" s="24" t="n">
        <f aca="false">Workflows!$G$10*Assumptions!$B$5*Assumptions!$B$27</f>
        <v>105</v>
      </c>
      <c r="M93" s="24" t="n">
        <f aca="false">Workflows!$G$10*Assumptions!$B$5*Assumptions!$B$27</f>
        <v>105</v>
      </c>
      <c r="N93" s="24" t="n">
        <f aca="false">Workflows!$G$10*Assumptions!$B$5*Assumptions!$B$27</f>
        <v>105</v>
      </c>
      <c r="O93" s="24" t="n">
        <f aca="false">Workflows!$G$10*Assumptions!$B$5*Assumptions!$B$27</f>
        <v>105</v>
      </c>
      <c r="P93" s="24" t="n">
        <f aca="false">Workflows!$G$10*Assumptions!$B$5*Assumptions!$B$27</f>
        <v>105</v>
      </c>
      <c r="Q93" s="24" t="n">
        <f aca="false">Workflows!$G$10*Assumptions!$B$5*Assumptions!$B$27</f>
        <v>105</v>
      </c>
      <c r="R93" s="24" t="n">
        <f aca="false">Workflows!$G$10*Assumptions!$B$5*Assumptions!$B$27</f>
        <v>105</v>
      </c>
      <c r="S93" s="24" t="n">
        <f aca="false">Workflows!$G$10*Assumptions!$B$5*Assumptions!$B$27</f>
        <v>105</v>
      </c>
      <c r="T93" s="24" t="n">
        <f aca="false">Workflows!$G$10*Assumptions!$B$5*Assumptions!$B$27</f>
        <v>105</v>
      </c>
      <c r="U93" s="24" t="n">
        <f aca="false">Workflows!$G$10*Assumptions!$B$5*Assumptions!$B$27</f>
        <v>105</v>
      </c>
      <c r="V93" s="24" t="n">
        <f aca="false">Workflows!$G$10*Assumptions!$B$5*Assumptions!$B$27</f>
        <v>105</v>
      </c>
      <c r="W93" s="24" t="n">
        <f aca="false">Workflows!$G$10*Assumptions!$B$5*Assumptions!$B$27</f>
        <v>105</v>
      </c>
      <c r="X93" s="24" t="n">
        <f aca="false">Workflows!$G$10*Assumptions!$B$5*Assumptions!$B$27</f>
        <v>105</v>
      </c>
      <c r="Y93" s="24" t="n">
        <f aca="false">Workflows!$G$10*Assumptions!$B$5*Assumptions!$B$27</f>
        <v>105</v>
      </c>
      <c r="Z93" s="24" t="n">
        <f aca="false">Workflows!$G$10*Assumptions!$B$5*Assumptions!$B$27</f>
        <v>105</v>
      </c>
    </row>
    <row r="94" customFormat="false" ht="15" hidden="false" customHeight="false" outlineLevel="0" collapsed="false">
      <c r="B94" s="34" t="s">
        <v>170</v>
      </c>
      <c r="C94" s="45" t="n">
        <f aca="false">Workflows!$Z$10*Assumptions!$B$28*C$5</f>
        <v>0.019782</v>
      </c>
      <c r="D94" s="45" t="n">
        <f aca="false">Workflows!$Z$10*Assumptions!$B$28*D$5</f>
        <v>0.0194175469139626</v>
      </c>
      <c r="E94" s="45" t="n">
        <f aca="false">Workflows!$Z$10*Assumptions!$B$28*E$5</f>
        <v>0.0190598083184681</v>
      </c>
      <c r="F94" s="45" t="n">
        <f aca="false">Workflows!$Z$10*Assumptions!$B$28*F$5</f>
        <v>0.0187086605093008</v>
      </c>
      <c r="G94" s="45" t="n">
        <f aca="false">Workflows!$Z$10*Assumptions!$B$28*G$5</f>
        <v>0.0183639820613056</v>
      </c>
      <c r="H94" s="45" t="n">
        <f aca="false">Workflows!$Z$10*Assumptions!$B$28*H$5</f>
        <v>0.0180256537864002</v>
      </c>
      <c r="I94" s="45" t="n">
        <f aca="false">Workflows!$Z$10*Assumptions!$B$28*I$5</f>
        <v>0.0176935586923603</v>
      </c>
      <c r="J94" s="45" t="n">
        <f aca="false">Workflows!$Z$10*Assumptions!$B$28*J$5</f>
        <v>0.0173675819423646</v>
      </c>
      <c r="K94" s="45" t="n">
        <f aca="false">Workflows!$Z$10*Assumptions!$B$28*K$5</f>
        <v>0.0170476108152843</v>
      </c>
      <c r="L94" s="45" t="n">
        <f aca="false">Workflows!$Z$10*Assumptions!$B$28*L$5</f>
        <v>0.016733534666705</v>
      </c>
      <c r="M94" s="45" t="n">
        <f aca="false">Workflows!$Z$10*Assumptions!$B$28*M$5</f>
        <v>0.0164252448906664</v>
      </c>
      <c r="N94" s="45" t="n">
        <f aca="false">Workflows!$Z$10*Assumptions!$B$28*N$5</f>
        <v>0.0161226348821069</v>
      </c>
      <c r="O94" s="45" t="n">
        <f aca="false">Workflows!$Z$10*Assumptions!$B$28*O$5</f>
        <v>0.0158256</v>
      </c>
      <c r="P94" s="45" t="n">
        <f aca="false">Workflows!$Z$10*Assumptions!$B$28*P$5</f>
        <v>0.01553403753117</v>
      </c>
      <c r="Q94" s="45" t="n">
        <f aca="false">Workflows!$Z$10*Assumptions!$B$28*Q$5</f>
        <v>0.0152478466547745</v>
      </c>
      <c r="R94" s="45" t="n">
        <f aca="false">Workflows!$Z$10*Assumptions!$B$28*R$5</f>
        <v>0.0149669284074407</v>
      </c>
      <c r="S94" s="45" t="n">
        <f aca="false">Workflows!$Z$10*Assumptions!$B$28*S$5</f>
        <v>0.0146911856490445</v>
      </c>
      <c r="T94" s="45" t="n">
        <f aca="false">Workflows!$Z$10*Assumptions!$B$28*T$5</f>
        <v>0.0144205230291201</v>
      </c>
      <c r="U94" s="45" t="n">
        <f aca="false">Workflows!$Z$10*Assumptions!$B$28*U$5</f>
        <v>0.0141548469538883</v>
      </c>
      <c r="V94" s="45" t="n">
        <f aca="false">Workflows!$Z$10*Assumptions!$B$28*V$5</f>
        <v>0.0138940655538917</v>
      </c>
      <c r="W94" s="45" t="n">
        <f aca="false">Workflows!$Z$10*Assumptions!$B$28*W$5</f>
        <v>0.0136380886522274</v>
      </c>
      <c r="X94" s="45" t="n">
        <f aca="false">Workflows!$Z$10*Assumptions!$B$28*X$5</f>
        <v>0.013386827733364</v>
      </c>
      <c r="Y94" s="45" t="n">
        <f aca="false">Workflows!$Z$10*Assumptions!$B$28*Y$5</f>
        <v>0.0131401959125331</v>
      </c>
      <c r="Z94" s="45" t="n">
        <f aca="false">Workflows!$Z$10*Assumptions!$B$28*Z$5</f>
        <v>0.0128981079056855</v>
      </c>
    </row>
    <row r="95" customFormat="false" ht="15" hidden="false" customHeight="false" outlineLevel="0" collapsed="false">
      <c r="B95" s="34" t="s">
        <v>221</v>
      </c>
      <c r="C95" s="46" t="n">
        <f aca="false">MIN(C93*C94,Workflows!$O$10)</f>
        <v>2.07711</v>
      </c>
      <c r="D95" s="46" t="n">
        <f aca="false">MIN(D93*D94,Workflows!$O$10)</f>
        <v>2.03884242596607</v>
      </c>
      <c r="E95" s="46" t="n">
        <f aca="false">MIN(E93*E94,Workflows!$O$10)</f>
        <v>2.00127987343916</v>
      </c>
      <c r="F95" s="46" t="n">
        <f aca="false">MIN(F93*F94,Workflows!$O$10)</f>
        <v>1.96440935347659</v>
      </c>
      <c r="G95" s="46" t="n">
        <f aca="false">MIN(G93*G94,Workflows!$O$10)</f>
        <v>1.92821811643709</v>
      </c>
      <c r="H95" s="46" t="n">
        <f aca="false">MIN(H93*H94,Workflows!$O$10)</f>
        <v>1.89269364757202</v>
      </c>
      <c r="I95" s="46" t="n">
        <f aca="false">MIN(I93*I94,Workflows!$O$10)</f>
        <v>1.85782366269784</v>
      </c>
      <c r="J95" s="46" t="n">
        <f aca="false">MIN(J93*J94,Workflows!$O$10)</f>
        <v>1.82359610394828</v>
      </c>
      <c r="K95" s="46" t="n">
        <f aca="false">MIN(K93*K94,Workflows!$O$10)</f>
        <v>1.78999913560485</v>
      </c>
      <c r="L95" s="46" t="n">
        <f aca="false">MIN(L93*L94,Workflows!$O$10)</f>
        <v>1.75702114000402</v>
      </c>
      <c r="M95" s="46" t="n">
        <f aca="false">MIN(M93*M94,Workflows!$O$10)</f>
        <v>1.72465071351997</v>
      </c>
      <c r="N95" s="46" t="n">
        <f aca="false">MIN(N93*N94,Workflows!$O$10)</f>
        <v>1.69287666262123</v>
      </c>
      <c r="O95" s="46" t="n">
        <f aca="false">MIN(O93*O94,Workflows!$O$10)</f>
        <v>1.661688</v>
      </c>
      <c r="P95" s="46" t="n">
        <f aca="false">MIN(P93*P94,Workflows!$O$10)</f>
        <v>1.63107394077286</v>
      </c>
      <c r="Q95" s="46" t="n">
        <f aca="false">MIN(Q93*Q94,Workflows!$O$10)</f>
        <v>1.60102389875132</v>
      </c>
      <c r="R95" s="46" t="n">
        <f aca="false">MIN(R93*R94,Workflows!$O$10)</f>
        <v>1.57152748278127</v>
      </c>
      <c r="S95" s="46" t="n">
        <f aca="false">MIN(S93*S94,Workflows!$O$10)</f>
        <v>1.54257449314967</v>
      </c>
      <c r="T95" s="46" t="n">
        <f aca="false">MIN(T93*T94,Workflows!$O$10)</f>
        <v>1.51415491805761</v>
      </c>
      <c r="U95" s="46" t="n">
        <f aca="false">MIN(U93*U94,Workflows!$O$10)</f>
        <v>1.48625893015827</v>
      </c>
      <c r="V95" s="46" t="n">
        <f aca="false">MIN(V93*V94,Workflows!$O$10)</f>
        <v>1.45887688315863</v>
      </c>
      <c r="W95" s="46" t="n">
        <f aca="false">MIN(W93*W94,Workflows!$O$10)</f>
        <v>1.43199930848388</v>
      </c>
      <c r="X95" s="46" t="n">
        <f aca="false">MIN(X93*X94,Workflows!$O$10)</f>
        <v>1.40561691200322</v>
      </c>
      <c r="Y95" s="46" t="n">
        <f aca="false">MIN(Y93*Y94,Workflows!$O$10)</f>
        <v>1.37972057081598</v>
      </c>
      <c r="Z95" s="46" t="n">
        <f aca="false">MIN(Z93*Z94,Workflows!$O$10)</f>
        <v>1.35430133009698</v>
      </c>
    </row>
    <row r="96" customFormat="false" ht="15" hidden="false" customHeight="false" outlineLevel="0" collapsed="false">
      <c r="B96" s="34" t="s">
        <v>222</v>
      </c>
      <c r="C96" s="36" t="n">
        <f aca="false">IF(C93*C94=0,1,MIN(1,Workflows!$O$10/(C93*C94)))</f>
        <v>1</v>
      </c>
      <c r="D96" s="36" t="n">
        <f aca="false">IF(D93*D94=0,1,MIN(1,Workflows!$O$10/(D93*D94)))</f>
        <v>1</v>
      </c>
      <c r="E96" s="36" t="n">
        <f aca="false">IF(E93*E94=0,1,MIN(1,Workflows!$O$10/(E93*E94)))</f>
        <v>1</v>
      </c>
      <c r="F96" s="36" t="n">
        <f aca="false">IF(F93*F94=0,1,MIN(1,Workflows!$O$10/(F93*F94)))</f>
        <v>1</v>
      </c>
      <c r="G96" s="36" t="n">
        <f aca="false">IF(G93*G94=0,1,MIN(1,Workflows!$O$10/(G93*G94)))</f>
        <v>1</v>
      </c>
      <c r="H96" s="36" t="n">
        <f aca="false">IF(H93*H94=0,1,MIN(1,Workflows!$O$10/(H93*H94)))</f>
        <v>1</v>
      </c>
      <c r="I96" s="36" t="n">
        <f aca="false">IF(I93*I94=0,1,MIN(1,Workflows!$O$10/(I93*I94)))</f>
        <v>1</v>
      </c>
      <c r="J96" s="36" t="n">
        <f aca="false">IF(J93*J94=0,1,MIN(1,Workflows!$O$10/(J93*J94)))</f>
        <v>1</v>
      </c>
      <c r="K96" s="36" t="n">
        <f aca="false">IF(K93*K94=0,1,MIN(1,Workflows!$O$10/(K93*K94)))</f>
        <v>1</v>
      </c>
      <c r="L96" s="36" t="n">
        <f aca="false">IF(L93*L94=0,1,MIN(1,Workflows!$O$10/(L93*L94)))</f>
        <v>1</v>
      </c>
      <c r="M96" s="36" t="n">
        <f aca="false">IF(M93*M94=0,1,MIN(1,Workflows!$O$10/(M93*M94)))</f>
        <v>1</v>
      </c>
      <c r="N96" s="36" t="n">
        <f aca="false">IF(N93*N94=0,1,MIN(1,Workflows!$O$10/(N93*N94)))</f>
        <v>1</v>
      </c>
      <c r="O96" s="36" t="n">
        <f aca="false">IF(O93*O94=0,1,MIN(1,Workflows!$O$10/(O93*O94)))</f>
        <v>1</v>
      </c>
      <c r="P96" s="36" t="n">
        <f aca="false">IF(P93*P94=0,1,MIN(1,Workflows!$O$10/(P93*P94)))</f>
        <v>1</v>
      </c>
      <c r="Q96" s="36" t="n">
        <f aca="false">IF(Q93*Q94=0,1,MIN(1,Workflows!$O$10/(Q93*Q94)))</f>
        <v>1</v>
      </c>
      <c r="R96" s="36" t="n">
        <f aca="false">IF(R93*R94=0,1,MIN(1,Workflows!$O$10/(R93*R94)))</f>
        <v>1</v>
      </c>
      <c r="S96" s="36" t="n">
        <f aca="false">IF(S93*S94=0,1,MIN(1,Workflows!$O$10/(S93*S94)))</f>
        <v>1</v>
      </c>
      <c r="T96" s="36" t="n">
        <f aca="false">IF(T93*T94=0,1,MIN(1,Workflows!$O$10/(T93*T94)))</f>
        <v>1</v>
      </c>
      <c r="U96" s="36" t="n">
        <f aca="false">IF(U93*U94=0,1,MIN(1,Workflows!$O$10/(U93*U94)))</f>
        <v>1</v>
      </c>
      <c r="V96" s="36" t="n">
        <f aca="false">IF(V93*V94=0,1,MIN(1,Workflows!$O$10/(V93*V94)))</f>
        <v>1</v>
      </c>
      <c r="W96" s="36" t="n">
        <f aca="false">IF(W93*W94=0,1,MIN(1,Workflows!$O$10/(W93*W94)))</f>
        <v>1</v>
      </c>
      <c r="X96" s="36" t="n">
        <f aca="false">IF(X93*X94=0,1,MIN(1,Workflows!$O$10/(X93*X94)))</f>
        <v>1</v>
      </c>
      <c r="Y96" s="36" t="n">
        <f aca="false">IF(Y93*Y94=0,1,MIN(1,Workflows!$O$10/(Y93*Y94)))</f>
        <v>1</v>
      </c>
      <c r="Z96" s="36" t="n">
        <f aca="false">IF(Z93*Z94=0,1,MIN(1,Workflows!$O$10/(Z93*Z94)))</f>
        <v>1</v>
      </c>
    </row>
    <row r="97" customFormat="false" ht="15" hidden="false" customHeight="false" outlineLevel="0" collapsed="false">
      <c r="B97" s="34" t="s">
        <v>223</v>
      </c>
      <c r="C97" s="24" t="n">
        <f aca="false">C92*C93</f>
        <v>8750</v>
      </c>
      <c r="D97" s="24" t="n">
        <f aca="false">D92*D93</f>
        <v>17500</v>
      </c>
      <c r="E97" s="24" t="n">
        <f aca="false">E92*E93</f>
        <v>26250</v>
      </c>
      <c r="F97" s="24" t="n">
        <f aca="false">F92*F93</f>
        <v>35000</v>
      </c>
      <c r="G97" s="24" t="n">
        <f aca="false">G92*G93</f>
        <v>43750</v>
      </c>
      <c r="H97" s="24" t="n">
        <f aca="false">H92*H93</f>
        <v>52500</v>
      </c>
      <c r="I97" s="24" t="n">
        <f aca="false">I92*I93</f>
        <v>61250</v>
      </c>
      <c r="J97" s="24" t="n">
        <f aca="false">J92*J93</f>
        <v>70000</v>
      </c>
      <c r="K97" s="24" t="n">
        <f aca="false">K92*K93</f>
        <v>78750</v>
      </c>
      <c r="L97" s="24" t="n">
        <f aca="false">L92*L93</f>
        <v>78750</v>
      </c>
      <c r="M97" s="24" t="n">
        <f aca="false">M92*M93</f>
        <v>78750</v>
      </c>
      <c r="N97" s="24" t="n">
        <f aca="false">N92*N93</f>
        <v>78750</v>
      </c>
      <c r="O97" s="24" t="n">
        <f aca="false">O92*O93</f>
        <v>78750</v>
      </c>
      <c r="P97" s="24" t="n">
        <f aca="false">P92*P93</f>
        <v>78750</v>
      </c>
      <c r="Q97" s="24" t="n">
        <f aca="false">Q92*Q93</f>
        <v>78750</v>
      </c>
      <c r="R97" s="24" t="n">
        <f aca="false">R92*R93</f>
        <v>78750</v>
      </c>
      <c r="S97" s="24" t="n">
        <f aca="false">S92*S93</f>
        <v>78750</v>
      </c>
      <c r="T97" s="24" t="n">
        <f aca="false">T92*T93</f>
        <v>78750</v>
      </c>
      <c r="U97" s="24" t="n">
        <f aca="false">U92*U93</f>
        <v>78750</v>
      </c>
      <c r="V97" s="24" t="n">
        <f aca="false">V92*V93</f>
        <v>78750</v>
      </c>
      <c r="W97" s="24" t="n">
        <f aca="false">W92*W93</f>
        <v>78750</v>
      </c>
      <c r="X97" s="24" t="n">
        <f aca="false">X92*X93</f>
        <v>78750</v>
      </c>
      <c r="Y97" s="24" t="n">
        <f aca="false">Y92*Y93</f>
        <v>78750</v>
      </c>
      <c r="Z97" s="24" t="n">
        <f aca="false">Z92*Z93</f>
        <v>78750</v>
      </c>
    </row>
    <row r="98" customFormat="false" ht="15" hidden="false" customHeight="false" outlineLevel="0" collapsed="false">
      <c r="B98" s="34" t="s">
        <v>88</v>
      </c>
      <c r="C98" s="24" t="n">
        <f aca="false">C97*C96</f>
        <v>8750</v>
      </c>
      <c r="D98" s="24" t="n">
        <f aca="false">D97*D96</f>
        <v>17500</v>
      </c>
      <c r="E98" s="24" t="n">
        <f aca="false">E97*E96</f>
        <v>26250</v>
      </c>
      <c r="F98" s="24" t="n">
        <f aca="false">F97*F96</f>
        <v>35000</v>
      </c>
      <c r="G98" s="24" t="n">
        <f aca="false">G97*G96</f>
        <v>43750</v>
      </c>
      <c r="H98" s="24" t="n">
        <f aca="false">H97*H96</f>
        <v>52500</v>
      </c>
      <c r="I98" s="24" t="n">
        <f aca="false">I97*I96</f>
        <v>61250</v>
      </c>
      <c r="J98" s="24" t="n">
        <f aca="false">J97*J96</f>
        <v>70000</v>
      </c>
      <c r="K98" s="24" t="n">
        <f aca="false">K97*K96</f>
        <v>78750</v>
      </c>
      <c r="L98" s="24" t="n">
        <f aca="false">L97*L96</f>
        <v>78750</v>
      </c>
      <c r="M98" s="24" t="n">
        <f aca="false">M97*M96</f>
        <v>78750</v>
      </c>
      <c r="N98" s="24" t="n">
        <f aca="false">N97*N96</f>
        <v>78750</v>
      </c>
      <c r="O98" s="24" t="n">
        <f aca="false">O97*O96</f>
        <v>78750</v>
      </c>
      <c r="P98" s="24" t="n">
        <f aca="false">P97*P96</f>
        <v>78750</v>
      </c>
      <c r="Q98" s="24" t="n">
        <f aca="false">Q97*Q96</f>
        <v>78750</v>
      </c>
      <c r="R98" s="24" t="n">
        <f aca="false">R97*R96</f>
        <v>78750</v>
      </c>
      <c r="S98" s="24" t="n">
        <f aca="false">S97*S96</f>
        <v>78750</v>
      </c>
      <c r="T98" s="24" t="n">
        <f aca="false">T97*T96</f>
        <v>78750</v>
      </c>
      <c r="U98" s="24" t="n">
        <f aca="false">U97*U96</f>
        <v>78750</v>
      </c>
      <c r="V98" s="24" t="n">
        <f aca="false">V97*V96</f>
        <v>78750</v>
      </c>
      <c r="W98" s="24" t="n">
        <f aca="false">W97*W96</f>
        <v>78750</v>
      </c>
      <c r="X98" s="24" t="n">
        <f aca="false">X97*X96</f>
        <v>78750</v>
      </c>
      <c r="Y98" s="24" t="n">
        <f aca="false">Y97*Y96</f>
        <v>78750</v>
      </c>
      <c r="Z98" s="24" t="n">
        <f aca="false">Z97*Z96</f>
        <v>78750</v>
      </c>
    </row>
    <row r="99" customFormat="false" ht="15" hidden="false" customHeight="false" outlineLevel="0" collapsed="false">
      <c r="B99" s="34" t="s">
        <v>224</v>
      </c>
      <c r="C99" s="24" t="n">
        <f aca="false">C98*MIN(1,Workflows!$P$10*Assumptions!$B$30)</f>
        <v>6125</v>
      </c>
      <c r="D99" s="24" t="n">
        <f aca="false">D98*MIN(1,Workflows!$P$10*Assumptions!$B$30)</f>
        <v>12250</v>
      </c>
      <c r="E99" s="24" t="n">
        <f aca="false">E98*MIN(1,Workflows!$P$10*Assumptions!$B$30)</f>
        <v>18375</v>
      </c>
      <c r="F99" s="24" t="n">
        <f aca="false">F98*MIN(1,Workflows!$P$10*Assumptions!$B$30)</f>
        <v>24500</v>
      </c>
      <c r="G99" s="24" t="n">
        <f aca="false">G98*MIN(1,Workflows!$P$10*Assumptions!$B$30)</f>
        <v>30625</v>
      </c>
      <c r="H99" s="24" t="n">
        <f aca="false">H98*MIN(1,Workflows!$P$10*Assumptions!$B$30)</f>
        <v>36750</v>
      </c>
      <c r="I99" s="24" t="n">
        <f aca="false">I98*MIN(1,Workflows!$P$10*Assumptions!$B$30)</f>
        <v>42875</v>
      </c>
      <c r="J99" s="24" t="n">
        <f aca="false">J98*MIN(1,Workflows!$P$10*Assumptions!$B$30)</f>
        <v>49000</v>
      </c>
      <c r="K99" s="24" t="n">
        <f aca="false">K98*MIN(1,Workflows!$P$10*Assumptions!$B$30)</f>
        <v>55125</v>
      </c>
      <c r="L99" s="24" t="n">
        <f aca="false">L98*MIN(1,Workflows!$P$10*Assumptions!$B$30)</f>
        <v>55125</v>
      </c>
      <c r="M99" s="24" t="n">
        <f aca="false">M98*MIN(1,Workflows!$P$10*Assumptions!$B$30)</f>
        <v>55125</v>
      </c>
      <c r="N99" s="24" t="n">
        <f aca="false">N98*MIN(1,Workflows!$P$10*Assumptions!$B$30)</f>
        <v>55125</v>
      </c>
      <c r="O99" s="24" t="n">
        <f aca="false">O98*MIN(1,Workflows!$P$10*Assumptions!$B$30)</f>
        <v>55125</v>
      </c>
      <c r="P99" s="24" t="n">
        <f aca="false">P98*MIN(1,Workflows!$P$10*Assumptions!$B$30)</f>
        <v>55125</v>
      </c>
      <c r="Q99" s="24" t="n">
        <f aca="false">Q98*MIN(1,Workflows!$P$10*Assumptions!$B$30)</f>
        <v>55125</v>
      </c>
      <c r="R99" s="24" t="n">
        <f aca="false">R98*MIN(1,Workflows!$P$10*Assumptions!$B$30)</f>
        <v>55125</v>
      </c>
      <c r="S99" s="24" t="n">
        <f aca="false">S98*MIN(1,Workflows!$P$10*Assumptions!$B$30)</f>
        <v>55125</v>
      </c>
      <c r="T99" s="24" t="n">
        <f aca="false">T98*MIN(1,Workflows!$P$10*Assumptions!$B$30)</f>
        <v>55125</v>
      </c>
      <c r="U99" s="24" t="n">
        <f aca="false">U98*MIN(1,Workflows!$P$10*Assumptions!$B$30)</f>
        <v>55125</v>
      </c>
      <c r="V99" s="24" t="n">
        <f aca="false">V98*MIN(1,Workflows!$P$10*Assumptions!$B$30)</f>
        <v>55125</v>
      </c>
      <c r="W99" s="24" t="n">
        <f aca="false">W98*MIN(1,Workflows!$P$10*Assumptions!$B$30)</f>
        <v>55125</v>
      </c>
      <c r="X99" s="24" t="n">
        <f aca="false">X98*MIN(1,Workflows!$P$10*Assumptions!$B$30)</f>
        <v>55125</v>
      </c>
      <c r="Y99" s="24" t="n">
        <f aca="false">Y98*MIN(1,Workflows!$P$10*Assumptions!$B$30)</f>
        <v>55125</v>
      </c>
      <c r="Z99" s="24" t="n">
        <f aca="false">Z98*MIN(1,Workflows!$P$10*Assumptions!$B$30)</f>
        <v>55125</v>
      </c>
    </row>
    <row r="100" customFormat="false" ht="15" hidden="false" customHeight="false" outlineLevel="0" collapsed="false">
      <c r="B100" s="34" t="s">
        <v>225</v>
      </c>
      <c r="C100" s="46" t="n">
        <f aca="false">C92*C95</f>
        <v>173.0925</v>
      </c>
      <c r="D100" s="46" t="n">
        <f aca="false">D92*D95</f>
        <v>339.807070994345</v>
      </c>
      <c r="E100" s="46" t="n">
        <f aca="false">E92*E95</f>
        <v>500.319968359789</v>
      </c>
      <c r="F100" s="46" t="n">
        <f aca="false">F92*F95</f>
        <v>654.803117825529</v>
      </c>
      <c r="G100" s="46" t="n">
        <f aca="false">G92*G95</f>
        <v>803.42421518212</v>
      </c>
      <c r="H100" s="46" t="n">
        <f aca="false">H92*H95</f>
        <v>946.346823786009</v>
      </c>
      <c r="I100" s="46" t="n">
        <f aca="false">I92*I95</f>
        <v>1083.73046990707</v>
      </c>
      <c r="J100" s="46" t="n">
        <f aca="false">J92*J95</f>
        <v>1215.73073596552</v>
      </c>
      <c r="K100" s="46" t="n">
        <f aca="false">K92*K95</f>
        <v>1342.49935170364</v>
      </c>
      <c r="L100" s="46" t="n">
        <f aca="false">L92*L95</f>
        <v>1317.76585500302</v>
      </c>
      <c r="M100" s="46" t="n">
        <f aca="false">M92*M95</f>
        <v>1293.48803513998</v>
      </c>
      <c r="N100" s="46" t="n">
        <f aca="false">N92*N95</f>
        <v>1269.65749696592</v>
      </c>
      <c r="O100" s="46" t="n">
        <f aca="false">O92*O95</f>
        <v>1246.266</v>
      </c>
      <c r="P100" s="46" t="n">
        <f aca="false">P92*P95</f>
        <v>1223.30545557964</v>
      </c>
      <c r="Q100" s="46" t="n">
        <f aca="false">Q92*Q95</f>
        <v>1200.76792406349</v>
      </c>
      <c r="R100" s="46" t="n">
        <f aca="false">R92*R95</f>
        <v>1178.64561208595</v>
      </c>
      <c r="S100" s="46" t="n">
        <f aca="false">S92*S95</f>
        <v>1156.93086986225</v>
      </c>
      <c r="T100" s="46" t="n">
        <f aca="false">T92*T95</f>
        <v>1135.61618854321</v>
      </c>
      <c r="U100" s="46" t="n">
        <f aca="false">U92*U95</f>
        <v>1114.6941976187</v>
      </c>
      <c r="V100" s="46" t="n">
        <f aca="false">V92*V95</f>
        <v>1094.15766236897</v>
      </c>
      <c r="W100" s="46" t="n">
        <f aca="false">W92*W95</f>
        <v>1073.99948136291</v>
      </c>
      <c r="X100" s="46" t="n">
        <f aca="false">X92*X95</f>
        <v>1054.21268400241</v>
      </c>
      <c r="Y100" s="46" t="n">
        <f aca="false">Y92*Y95</f>
        <v>1034.79042811198</v>
      </c>
      <c r="Z100" s="46" t="n">
        <f aca="false">Z92*Z95</f>
        <v>1015.72599757274</v>
      </c>
    </row>
    <row r="101" customFormat="false" ht="15" hidden="false" customHeight="false" outlineLevel="0" collapsed="false">
      <c r="B101" s="34" t="s">
        <v>32</v>
      </c>
      <c r="C101" s="24" t="n">
        <f aca="false">MAX(0,C99*Workflows!$Q$10-IF(Workflows!$V$10="Yes",0,C98*Workflows!$R$10*Assumptions!$B$31))/60</f>
        <v>335.416666666667</v>
      </c>
      <c r="D101" s="24" t="n">
        <f aca="false">MAX(0,D99*Workflows!$Q$10-IF(Workflows!$V$10="Yes",0,D98*Workflows!$R$10*Assumptions!$B$31))/60</f>
        <v>670.833333333333</v>
      </c>
      <c r="E101" s="24" t="n">
        <f aca="false">MAX(0,E99*Workflows!$Q$10-IF(Workflows!$V$10="Yes",0,E98*Workflows!$R$10*Assumptions!$B$31))/60</f>
        <v>1006.25</v>
      </c>
      <c r="F101" s="24" t="n">
        <f aca="false">MAX(0,F99*Workflows!$Q$10-IF(Workflows!$V$10="Yes",0,F98*Workflows!$R$10*Assumptions!$B$31))/60</f>
        <v>1341.66666666667</v>
      </c>
      <c r="G101" s="24" t="n">
        <f aca="false">MAX(0,G99*Workflows!$Q$10-IF(Workflows!$V$10="Yes",0,G98*Workflows!$R$10*Assumptions!$B$31))/60</f>
        <v>1677.08333333333</v>
      </c>
      <c r="H101" s="24" t="n">
        <f aca="false">MAX(0,H99*Workflows!$Q$10-IF(Workflows!$V$10="Yes",0,H98*Workflows!$R$10*Assumptions!$B$31))/60</f>
        <v>2012.5</v>
      </c>
      <c r="I101" s="24" t="n">
        <f aca="false">MAX(0,I99*Workflows!$Q$10-IF(Workflows!$V$10="Yes",0,I98*Workflows!$R$10*Assumptions!$B$31))/60</f>
        <v>2347.91666666667</v>
      </c>
      <c r="J101" s="24" t="n">
        <f aca="false">MAX(0,J99*Workflows!$Q$10-IF(Workflows!$V$10="Yes",0,J98*Workflows!$R$10*Assumptions!$B$31))/60</f>
        <v>2683.33333333333</v>
      </c>
      <c r="K101" s="24" t="n">
        <f aca="false">MAX(0,K99*Workflows!$Q$10-IF(Workflows!$V$10="Yes",0,K98*Workflows!$R$10*Assumptions!$B$31))/60</f>
        <v>3018.75</v>
      </c>
      <c r="L101" s="24" t="n">
        <f aca="false">MAX(0,L99*Workflows!$Q$10-IF(Workflows!$V$10="Yes",0,L98*Workflows!$R$10*Assumptions!$B$31))/60</f>
        <v>3018.75</v>
      </c>
      <c r="M101" s="24" t="n">
        <f aca="false">MAX(0,M99*Workflows!$Q$10-IF(Workflows!$V$10="Yes",0,M98*Workflows!$R$10*Assumptions!$B$31))/60</f>
        <v>3018.75</v>
      </c>
      <c r="N101" s="24" t="n">
        <f aca="false">MAX(0,N99*Workflows!$Q$10-IF(Workflows!$V$10="Yes",0,N98*Workflows!$R$10*Assumptions!$B$31))/60</f>
        <v>3018.75</v>
      </c>
      <c r="O101" s="24" t="n">
        <f aca="false">MAX(0,O99*Workflows!$Q$10-IF(Workflows!$V$10="Yes",0,O98*Workflows!$R$10*Assumptions!$B$31))/60</f>
        <v>3018.75</v>
      </c>
      <c r="P101" s="24" t="n">
        <f aca="false">MAX(0,P99*Workflows!$Q$10-IF(Workflows!$V$10="Yes",0,P98*Workflows!$R$10*Assumptions!$B$31))/60</f>
        <v>3018.75</v>
      </c>
      <c r="Q101" s="24" t="n">
        <f aca="false">MAX(0,Q99*Workflows!$Q$10-IF(Workflows!$V$10="Yes",0,Q98*Workflows!$R$10*Assumptions!$B$31))/60</f>
        <v>3018.75</v>
      </c>
      <c r="R101" s="24" t="n">
        <f aca="false">MAX(0,R99*Workflows!$Q$10-IF(Workflows!$V$10="Yes",0,R98*Workflows!$R$10*Assumptions!$B$31))/60</f>
        <v>3018.75</v>
      </c>
      <c r="S101" s="24" t="n">
        <f aca="false">MAX(0,S99*Workflows!$Q$10-IF(Workflows!$V$10="Yes",0,S98*Workflows!$R$10*Assumptions!$B$31))/60</f>
        <v>3018.75</v>
      </c>
      <c r="T101" s="24" t="n">
        <f aca="false">MAX(0,T99*Workflows!$Q$10-IF(Workflows!$V$10="Yes",0,T98*Workflows!$R$10*Assumptions!$B$31))/60</f>
        <v>3018.75</v>
      </c>
      <c r="U101" s="24" t="n">
        <f aca="false">MAX(0,U99*Workflows!$Q$10-IF(Workflows!$V$10="Yes",0,U98*Workflows!$R$10*Assumptions!$B$31))/60</f>
        <v>3018.75</v>
      </c>
      <c r="V101" s="24" t="n">
        <f aca="false">MAX(0,V99*Workflows!$Q$10-IF(Workflows!$V$10="Yes",0,V98*Workflows!$R$10*Assumptions!$B$31))/60</f>
        <v>3018.75</v>
      </c>
      <c r="W101" s="24" t="n">
        <f aca="false">MAX(0,W99*Workflows!$Q$10-IF(Workflows!$V$10="Yes",0,W98*Workflows!$R$10*Assumptions!$B$31))/60</f>
        <v>3018.75</v>
      </c>
      <c r="X101" s="24" t="n">
        <f aca="false">MAX(0,X99*Workflows!$Q$10-IF(Workflows!$V$10="Yes",0,X98*Workflows!$R$10*Assumptions!$B$31))/60</f>
        <v>3018.75</v>
      </c>
      <c r="Y101" s="24" t="n">
        <f aca="false">MAX(0,Y99*Workflows!$Q$10-IF(Workflows!$V$10="Yes",0,Y98*Workflows!$R$10*Assumptions!$B$31))/60</f>
        <v>3018.75</v>
      </c>
      <c r="Z101" s="24" t="n">
        <f aca="false">MAX(0,Z99*Workflows!$Q$10-IF(Workflows!$V$10="Yes",0,Z98*Workflows!$R$10*Assumptions!$B$31))/60</f>
        <v>3018.75</v>
      </c>
    </row>
    <row r="102" customFormat="false" ht="15" hidden="false" customHeight="false" outlineLevel="0" collapsed="false">
      <c r="B102" s="34" t="s">
        <v>34</v>
      </c>
      <c r="C102" s="46" t="n">
        <f aca="false">C101*Workflows!$S$10</f>
        <v>30187.5</v>
      </c>
      <c r="D102" s="46" t="n">
        <f aca="false">D101*Workflows!$S$10</f>
        <v>60375</v>
      </c>
      <c r="E102" s="46" t="n">
        <f aca="false">E101*Workflows!$S$10</f>
        <v>90562.5</v>
      </c>
      <c r="F102" s="46" t="n">
        <f aca="false">F101*Workflows!$S$10</f>
        <v>120750</v>
      </c>
      <c r="G102" s="46" t="n">
        <f aca="false">G101*Workflows!$S$10</f>
        <v>150937.5</v>
      </c>
      <c r="H102" s="46" t="n">
        <f aca="false">H101*Workflows!$S$10</f>
        <v>181125</v>
      </c>
      <c r="I102" s="46" t="n">
        <f aca="false">I101*Workflows!$S$10</f>
        <v>211312.5</v>
      </c>
      <c r="J102" s="46" t="n">
        <f aca="false">J101*Workflows!$S$10</f>
        <v>241500</v>
      </c>
      <c r="K102" s="46" t="n">
        <f aca="false">K101*Workflows!$S$10</f>
        <v>271687.5</v>
      </c>
      <c r="L102" s="46" t="n">
        <f aca="false">L101*Workflows!$S$10</f>
        <v>271687.5</v>
      </c>
      <c r="M102" s="46" t="n">
        <f aca="false">M101*Workflows!$S$10</f>
        <v>271687.5</v>
      </c>
      <c r="N102" s="46" t="n">
        <f aca="false">N101*Workflows!$S$10</f>
        <v>271687.5</v>
      </c>
      <c r="O102" s="46" t="n">
        <f aca="false">O101*Workflows!$S$10</f>
        <v>271687.5</v>
      </c>
      <c r="P102" s="46" t="n">
        <f aca="false">P101*Workflows!$S$10</f>
        <v>271687.5</v>
      </c>
      <c r="Q102" s="46" t="n">
        <f aca="false">Q101*Workflows!$S$10</f>
        <v>271687.5</v>
      </c>
      <c r="R102" s="46" t="n">
        <f aca="false">R101*Workflows!$S$10</f>
        <v>271687.5</v>
      </c>
      <c r="S102" s="46" t="n">
        <f aca="false">S101*Workflows!$S$10</f>
        <v>271687.5</v>
      </c>
      <c r="T102" s="46" t="n">
        <f aca="false">T101*Workflows!$S$10</f>
        <v>271687.5</v>
      </c>
      <c r="U102" s="46" t="n">
        <f aca="false">U101*Workflows!$S$10</f>
        <v>271687.5</v>
      </c>
      <c r="V102" s="46" t="n">
        <f aca="false">V101*Workflows!$S$10</f>
        <v>271687.5</v>
      </c>
      <c r="W102" s="46" t="n">
        <f aca="false">W101*Workflows!$S$10</f>
        <v>271687.5</v>
      </c>
      <c r="X102" s="46" t="n">
        <f aca="false">X101*Workflows!$S$10</f>
        <v>271687.5</v>
      </c>
      <c r="Y102" s="46" t="n">
        <f aca="false">Y101*Workflows!$S$10</f>
        <v>271687.5</v>
      </c>
      <c r="Z102" s="46" t="n">
        <f aca="false">Z101*Workflows!$S$10</f>
        <v>271687.5</v>
      </c>
    </row>
    <row r="103" customFormat="false" ht="15" hidden="false" customHeight="false" outlineLevel="0" collapsed="false">
      <c r="B103" s="34" t="inlineStr">
        <is>
          <t>Planned benefit ($)</t>
        </is>
      </c>
      <c r="C103" s="46" t="n">
        <f aca="false">IF(C$4&gt;=Workflows!$U$10+Assumptions!$B$33,C102*MIN(1,Workflows!$T$10*Assumptions!$B$32),0)</f>
        <v>0</v>
      </c>
      <c r="D103" s="46" t="n">
        <f aca="false">IF(D$4&gt;=Workflows!$U$10+Assumptions!$B$33,D102*MIN(1,Workflows!$T$10*Assumptions!$B$32),0)</f>
        <v>0</v>
      </c>
      <c r="E103" s="46" t="n">
        <f aca="false">IF(E$4&gt;=Workflows!$U$10+Assumptions!$B$33,E102*MIN(1,Workflows!$T$10*Assumptions!$B$32),0)</f>
        <v>0</v>
      </c>
      <c r="F103" s="46" t="n">
        <f aca="false">IF(F$4&gt;=Workflows!$U$10+Assumptions!$B$33,F102*MIN(1,Workflows!$T$10*Assumptions!$B$32),0)</f>
        <v>0</v>
      </c>
      <c r="G103" s="46" t="n">
        <f aca="false">IF(G$4&gt;=Workflows!$U$10+Assumptions!$B$33,G102*MIN(1,Workflows!$T$10*Assumptions!$B$32),0)</f>
        <v>0</v>
      </c>
      <c r="H103" s="46" t="n">
        <f aca="false">IF(H$4&gt;=Workflows!$U$10+Assumptions!$B$33,H102*MIN(1,Workflows!$T$10*Assumptions!$B$32),0)</f>
        <v>36225</v>
      </c>
      <c r="I103" s="46" t="n">
        <f aca="false">IF(I$4&gt;=Workflows!$U$10+Assumptions!$B$33,I102*MIN(1,Workflows!$T$10*Assumptions!$B$32),0)</f>
        <v>42262.5</v>
      </c>
      <c r="J103" s="46" t="n">
        <f aca="false">IF(J$4&gt;=Workflows!$U$10+Assumptions!$B$33,J102*MIN(1,Workflows!$T$10*Assumptions!$B$32),0)</f>
        <v>48300</v>
      </c>
      <c r="K103" s="46" t="n">
        <f aca="false">IF(K$4&gt;=Workflows!$U$10+Assumptions!$B$33,K102*MIN(1,Workflows!$T$10*Assumptions!$B$32),0)</f>
        <v>54337.5</v>
      </c>
      <c r="L103" s="46" t="n">
        <f aca="false">IF(L$4&gt;=Workflows!$U$10+Assumptions!$B$33,L102*MIN(1,Workflows!$T$10*Assumptions!$B$32),0)</f>
        <v>54337.5</v>
      </c>
      <c r="M103" s="46" t="n">
        <f aca="false">IF(M$4&gt;=Workflows!$U$10+Assumptions!$B$33,M102*MIN(1,Workflows!$T$10*Assumptions!$B$32),0)</f>
        <v>54337.5</v>
      </c>
      <c r="N103" s="46" t="n">
        <f aca="false">IF(N$4&gt;=Workflows!$U$10+Assumptions!$B$33,N102*MIN(1,Workflows!$T$10*Assumptions!$B$32),0)</f>
        <v>54337.5</v>
      </c>
      <c r="O103" s="46" t="n">
        <f aca="false">IF(O$4&gt;=Workflows!$U$10+Assumptions!$B$33,O102*MIN(1,Workflows!$T$10*Assumptions!$B$32),0)</f>
        <v>54337.5</v>
      </c>
      <c r="P103" s="46" t="n">
        <f aca="false">IF(P$4&gt;=Workflows!$U$10+Assumptions!$B$33,P102*MIN(1,Workflows!$T$10*Assumptions!$B$32),0)</f>
        <v>54337.5</v>
      </c>
      <c r="Q103" s="46" t="n">
        <f aca="false">IF(Q$4&gt;=Workflows!$U$10+Assumptions!$B$33,Q102*MIN(1,Workflows!$T$10*Assumptions!$B$32),0)</f>
        <v>54337.5</v>
      </c>
      <c r="R103" s="46" t="n">
        <f aca="false">IF(R$4&gt;=Workflows!$U$10+Assumptions!$B$33,R102*MIN(1,Workflows!$T$10*Assumptions!$B$32),0)</f>
        <v>54337.5</v>
      </c>
      <c r="S103" s="46" t="n">
        <f aca="false">IF(S$4&gt;=Workflows!$U$10+Assumptions!$B$33,S102*MIN(1,Workflows!$T$10*Assumptions!$B$32),0)</f>
        <v>54337.5</v>
      </c>
      <c r="T103" s="46" t="n">
        <f aca="false">IF(T$4&gt;=Workflows!$U$10+Assumptions!$B$33,T102*MIN(1,Workflows!$T$10*Assumptions!$B$32),0)</f>
        <v>54337.5</v>
      </c>
      <c r="U103" s="46" t="n">
        <f aca="false">IF(U$4&gt;=Workflows!$U$10+Assumptions!$B$33,U102*MIN(1,Workflows!$T$10*Assumptions!$B$32),0)</f>
        <v>54337.5</v>
      </c>
      <c r="V103" s="46" t="n">
        <f aca="false">IF(V$4&gt;=Workflows!$U$10+Assumptions!$B$33,V102*MIN(1,Workflows!$T$10*Assumptions!$B$32),0)</f>
        <v>54337.5</v>
      </c>
      <c r="W103" s="46" t="n">
        <f aca="false">IF(W$4&gt;=Workflows!$U$10+Assumptions!$B$33,W102*MIN(1,Workflows!$T$10*Assumptions!$B$32),0)</f>
        <v>54337.5</v>
      </c>
      <c r="X103" s="46" t="n">
        <f aca="false">IF(X$4&gt;=Workflows!$U$10+Assumptions!$B$33,X102*MIN(1,Workflows!$T$10*Assumptions!$B$32),0)</f>
        <v>54337.5</v>
      </c>
      <c r="Y103" s="46" t="n">
        <f aca="false">IF(Y$4&gt;=Workflows!$U$10+Assumptions!$B$33,Y102*MIN(1,Workflows!$T$10*Assumptions!$B$32),0)</f>
        <v>54337.5</v>
      </c>
      <c r="Z103" s="46" t="n">
        <f aca="false">IF(Z$4&gt;=Workflows!$U$10+Assumptions!$B$33,Z102*MIN(1,Workflows!$T$10*Assumptions!$B$32),0)</f>
        <v>54337.5</v>
      </c>
    </row>
    <row r="104" customFormat="false" ht="15" hidden="false" customHeight="false" outlineLevel="0" collapsed="false">
      <c r="B104" s="34" t="s">
        <v>226</v>
      </c>
      <c r="C104" s="46" t="n">
        <f aca="false">IF(Workflows!$V$10="Yes",C98*Workflows!$R$10*Assumptions!$B$31/60*Workflows!$S$10,0)</f>
        <v>0</v>
      </c>
      <c r="D104" s="46" t="n">
        <f aca="false">IF(Workflows!$V$10="Yes",D98*Workflows!$R$10*Assumptions!$B$31/60*Workflows!$S$10,0)</f>
        <v>0</v>
      </c>
      <c r="E104" s="46" t="n">
        <f aca="false">IF(Workflows!$V$10="Yes",E98*Workflows!$R$10*Assumptions!$B$31/60*Workflows!$S$10,0)</f>
        <v>0</v>
      </c>
      <c r="F104" s="46" t="n">
        <f aca="false">IF(Workflows!$V$10="Yes",F98*Workflows!$R$10*Assumptions!$B$31/60*Workflows!$S$10,0)</f>
        <v>0</v>
      </c>
      <c r="G104" s="46" t="n">
        <f aca="false">IF(Workflows!$V$10="Yes",G98*Workflows!$R$10*Assumptions!$B$31/60*Workflows!$S$10,0)</f>
        <v>0</v>
      </c>
      <c r="H104" s="46" t="n">
        <f aca="false">IF(Workflows!$V$10="Yes",H98*Workflows!$R$10*Assumptions!$B$31/60*Workflows!$S$10,0)</f>
        <v>0</v>
      </c>
      <c r="I104" s="46" t="n">
        <f aca="false">IF(Workflows!$V$10="Yes",I98*Workflows!$R$10*Assumptions!$B$31/60*Workflows!$S$10,0)</f>
        <v>0</v>
      </c>
      <c r="J104" s="46" t="n">
        <f aca="false">IF(Workflows!$V$10="Yes",J98*Workflows!$R$10*Assumptions!$B$31/60*Workflows!$S$10,0)</f>
        <v>0</v>
      </c>
      <c r="K104" s="46" t="n">
        <f aca="false">IF(Workflows!$V$10="Yes",K98*Workflows!$R$10*Assumptions!$B$31/60*Workflows!$S$10,0)</f>
        <v>0</v>
      </c>
      <c r="L104" s="46" t="n">
        <f aca="false">IF(Workflows!$V$10="Yes",L98*Workflows!$R$10*Assumptions!$B$31/60*Workflows!$S$10,0)</f>
        <v>0</v>
      </c>
      <c r="M104" s="46" t="n">
        <f aca="false">IF(Workflows!$V$10="Yes",M98*Workflows!$R$10*Assumptions!$B$31/60*Workflows!$S$10,0)</f>
        <v>0</v>
      </c>
      <c r="N104" s="46" t="n">
        <f aca="false">IF(Workflows!$V$10="Yes",N98*Workflows!$R$10*Assumptions!$B$31/60*Workflows!$S$10,0)</f>
        <v>0</v>
      </c>
      <c r="O104" s="46" t="n">
        <f aca="false">IF(Workflows!$V$10="Yes",O98*Workflows!$R$10*Assumptions!$B$31/60*Workflows!$S$10,0)</f>
        <v>0</v>
      </c>
      <c r="P104" s="46" t="n">
        <f aca="false">IF(Workflows!$V$10="Yes",P98*Workflows!$R$10*Assumptions!$B$31/60*Workflows!$S$10,0)</f>
        <v>0</v>
      </c>
      <c r="Q104" s="46" t="n">
        <f aca="false">IF(Workflows!$V$10="Yes",Q98*Workflows!$R$10*Assumptions!$B$31/60*Workflows!$S$10,0)</f>
        <v>0</v>
      </c>
      <c r="R104" s="46" t="n">
        <f aca="false">IF(Workflows!$V$10="Yes",R98*Workflows!$R$10*Assumptions!$B$31/60*Workflows!$S$10,0)</f>
        <v>0</v>
      </c>
      <c r="S104" s="46" t="n">
        <f aca="false">IF(Workflows!$V$10="Yes",S98*Workflows!$R$10*Assumptions!$B$31/60*Workflows!$S$10,0)</f>
        <v>0</v>
      </c>
      <c r="T104" s="46" t="n">
        <f aca="false">IF(Workflows!$V$10="Yes",T98*Workflows!$R$10*Assumptions!$B$31/60*Workflows!$S$10,0)</f>
        <v>0</v>
      </c>
      <c r="U104" s="46" t="n">
        <f aca="false">IF(Workflows!$V$10="Yes",U98*Workflows!$R$10*Assumptions!$B$31/60*Workflows!$S$10,0)</f>
        <v>0</v>
      </c>
      <c r="V104" s="46" t="n">
        <f aca="false">IF(Workflows!$V$10="Yes",V98*Workflows!$R$10*Assumptions!$B$31/60*Workflows!$S$10,0)</f>
        <v>0</v>
      </c>
      <c r="W104" s="46" t="n">
        <f aca="false">IF(Workflows!$V$10="Yes",W98*Workflows!$R$10*Assumptions!$B$31/60*Workflows!$S$10,0)</f>
        <v>0</v>
      </c>
      <c r="X104" s="46" t="n">
        <f aca="false">IF(Workflows!$V$10="Yes",X98*Workflows!$R$10*Assumptions!$B$31/60*Workflows!$S$10,0)</f>
        <v>0</v>
      </c>
      <c r="Y104" s="46" t="n">
        <f aca="false">IF(Workflows!$V$10="Yes",Y98*Workflows!$R$10*Assumptions!$B$31/60*Workflows!$S$10,0)</f>
        <v>0</v>
      </c>
      <c r="Z104" s="46" t="n">
        <f aca="false">IF(Workflows!$V$10="Yes",Z98*Workflows!$R$10*Assumptions!$B$31/60*Workflows!$S$10,0)</f>
        <v>0</v>
      </c>
    </row>
    <row r="105" customFormat="false" ht="15" hidden="false" customHeight="false" outlineLevel="0" collapsed="false">
      <c r="B105" s="34" t="s">
        <v>227</v>
      </c>
      <c r="C105" s="24" t="n">
        <f aca="false">C97-C98</f>
        <v>0</v>
      </c>
      <c r="D105" s="24" t="n">
        <f aca="false">D97-D98</f>
        <v>0</v>
      </c>
      <c r="E105" s="24" t="n">
        <f aca="false">E97-E98</f>
        <v>0</v>
      </c>
      <c r="F105" s="24" t="n">
        <f aca="false">F97-F98</f>
        <v>0</v>
      </c>
      <c r="G105" s="24" t="n">
        <f aca="false">G97-G98</f>
        <v>0</v>
      </c>
      <c r="H105" s="24" t="n">
        <f aca="false">H97-H98</f>
        <v>0</v>
      </c>
      <c r="I105" s="24" t="n">
        <f aca="false">I97-I98</f>
        <v>0</v>
      </c>
      <c r="J105" s="24" t="n">
        <f aca="false">J97-J98</f>
        <v>0</v>
      </c>
      <c r="K105" s="24" t="n">
        <f aca="false">K97-K98</f>
        <v>0</v>
      </c>
      <c r="L105" s="24" t="n">
        <f aca="false">L97-L98</f>
        <v>0</v>
      </c>
      <c r="M105" s="24" t="n">
        <f aca="false">M97-M98</f>
        <v>0</v>
      </c>
      <c r="N105" s="24" t="n">
        <f aca="false">N97-N98</f>
        <v>0</v>
      </c>
      <c r="O105" s="24" t="n">
        <f aca="false">O97-O98</f>
        <v>0</v>
      </c>
      <c r="P105" s="24" t="n">
        <f aca="false">P97-P98</f>
        <v>0</v>
      </c>
      <c r="Q105" s="24" t="n">
        <f aca="false">Q97-Q98</f>
        <v>0</v>
      </c>
      <c r="R105" s="24" t="n">
        <f aca="false">R97-R98</f>
        <v>0</v>
      </c>
      <c r="S105" s="24" t="n">
        <f aca="false">S97-S98</f>
        <v>0</v>
      </c>
      <c r="T105" s="24" t="n">
        <f aca="false">T97-T98</f>
        <v>0</v>
      </c>
      <c r="U105" s="24" t="n">
        <f aca="false">U97-U98</f>
        <v>0</v>
      </c>
      <c r="V105" s="24" t="n">
        <f aca="false">V97-V98</f>
        <v>0</v>
      </c>
      <c r="W105" s="24" t="n">
        <f aca="false">W97-W98</f>
        <v>0</v>
      </c>
      <c r="X105" s="24" t="n">
        <f aca="false">X97-X98</f>
        <v>0</v>
      </c>
      <c r="Y105" s="24" t="n">
        <f aca="false">Y97-Y98</f>
        <v>0</v>
      </c>
      <c r="Z105" s="24" t="n">
        <f aca="false">Z97-Z98</f>
        <v>0</v>
      </c>
    </row>
    <row r="106" customFormat="false" ht="15" hidden="false" customHeight="false" outlineLevel="0" collapsed="false">
      <c r="B106" s="34" t="s">
        <v>228</v>
      </c>
      <c r="C106" s="46" t="n">
        <f aca="false">C105*C94</f>
        <v>0</v>
      </c>
      <c r="D106" s="46" t="n">
        <f aca="false">D105*D94</f>
        <v>0</v>
      </c>
      <c r="E106" s="46" t="n">
        <f aca="false">E105*E94</f>
        <v>0</v>
      </c>
      <c r="F106" s="46" t="n">
        <f aca="false">F105*F94</f>
        <v>0</v>
      </c>
      <c r="G106" s="46" t="n">
        <f aca="false">G105*G94</f>
        <v>0</v>
      </c>
      <c r="H106" s="46" t="n">
        <f aca="false">H105*H94</f>
        <v>0</v>
      </c>
      <c r="I106" s="46" t="n">
        <f aca="false">I105*I94</f>
        <v>0</v>
      </c>
      <c r="J106" s="46" t="n">
        <f aca="false">J105*J94</f>
        <v>0</v>
      </c>
      <c r="K106" s="46" t="n">
        <f aca="false">K105*K94</f>
        <v>0</v>
      </c>
      <c r="L106" s="46" t="n">
        <f aca="false">L105*L94</f>
        <v>0</v>
      </c>
      <c r="M106" s="46" t="n">
        <f aca="false">M105*M94</f>
        <v>0</v>
      </c>
      <c r="N106" s="46" t="n">
        <f aca="false">N105*N94</f>
        <v>0</v>
      </c>
      <c r="O106" s="46" t="n">
        <f aca="false">O105*O94</f>
        <v>0</v>
      </c>
      <c r="P106" s="46" t="n">
        <f aca="false">P105*P94</f>
        <v>0</v>
      </c>
      <c r="Q106" s="46" t="n">
        <f aca="false">Q105*Q94</f>
        <v>0</v>
      </c>
      <c r="R106" s="46" t="n">
        <f aca="false">R105*R94</f>
        <v>0</v>
      </c>
      <c r="S106" s="46" t="n">
        <f aca="false">S105*S94</f>
        <v>0</v>
      </c>
      <c r="T106" s="46" t="n">
        <f aca="false">T105*T94</f>
        <v>0</v>
      </c>
      <c r="U106" s="46" t="n">
        <f aca="false">U105*U94</f>
        <v>0</v>
      </c>
      <c r="V106" s="46" t="n">
        <f aca="false">V105*V94</f>
        <v>0</v>
      </c>
      <c r="W106" s="46" t="n">
        <f aca="false">W105*W94</f>
        <v>0</v>
      </c>
      <c r="X106" s="46" t="n">
        <f aca="false">X105*X94</f>
        <v>0</v>
      </c>
      <c r="Y106" s="46" t="n">
        <f aca="false">Y105*Y94</f>
        <v>0</v>
      </c>
      <c r="Z106" s="46" t="n">
        <f aca="false">Z105*Z94</f>
        <v>0</v>
      </c>
    </row>
    <row r="107" customFormat="false" ht="15" hidden="false" customHeight="false" outlineLevel="0" collapsed="false">
      <c r="B107" s="34" t="inlineStr">
        <is>
          <t>Planned benefit lost to cap ($)</t>
        </is>
      </c>
      <c r="C107" s="46" t="n">
        <f aca="false">IF(C98=0,0,C105/C98*C103)</f>
        <v>0</v>
      </c>
      <c r="D107" s="46" t="n">
        <f aca="false">IF(D98=0,0,D105/D98*D103)</f>
        <v>0</v>
      </c>
      <c r="E107" s="46" t="n">
        <f aca="false">IF(E98=0,0,E105/E98*E103)</f>
        <v>0</v>
      </c>
      <c r="F107" s="46" t="n">
        <f aca="false">IF(F98=0,0,F105/F98*F103)</f>
        <v>0</v>
      </c>
      <c r="G107" s="46" t="n">
        <f aca="false">IF(G98=0,0,G105/G98*G103)</f>
        <v>0</v>
      </c>
      <c r="H107" s="46" t="n">
        <f aca="false">IF(H98=0,0,H105/H98*H103)</f>
        <v>0</v>
      </c>
      <c r="I107" s="46" t="n">
        <f aca="false">IF(I98=0,0,I105/I98*I103)</f>
        <v>0</v>
      </c>
      <c r="J107" s="46" t="n">
        <f aca="false">IF(J98=0,0,J105/J98*J103)</f>
        <v>0</v>
      </c>
      <c r="K107" s="46" t="n">
        <f aca="false">IF(K98=0,0,K105/K98*K103)</f>
        <v>0</v>
      </c>
      <c r="L107" s="46" t="n">
        <f aca="false">IF(L98=0,0,L105/L98*L103)</f>
        <v>0</v>
      </c>
      <c r="M107" s="46" t="n">
        <f aca="false">IF(M98=0,0,M105/M98*M103)</f>
        <v>0</v>
      </c>
      <c r="N107" s="46" t="n">
        <f aca="false">IF(N98=0,0,N105/N98*N103)</f>
        <v>0</v>
      </c>
      <c r="O107" s="46" t="n">
        <f aca="false">IF(O98=0,0,O105/O98*O103)</f>
        <v>0</v>
      </c>
      <c r="P107" s="46" t="n">
        <f aca="false">IF(P98=0,0,P105/P98*P103)</f>
        <v>0</v>
      </c>
      <c r="Q107" s="46" t="n">
        <f aca="false">IF(Q98=0,0,Q105/Q98*Q103)</f>
        <v>0</v>
      </c>
      <c r="R107" s="46" t="n">
        <f aca="false">IF(R98=0,0,R105/R98*R103)</f>
        <v>0</v>
      </c>
      <c r="S107" s="46" t="n">
        <f aca="false">IF(S98=0,0,S105/S98*S103)</f>
        <v>0</v>
      </c>
      <c r="T107" s="46" t="n">
        <f aca="false">IF(T98=0,0,T105/T98*T103)</f>
        <v>0</v>
      </c>
      <c r="U107" s="46" t="n">
        <f aca="false">IF(U98=0,0,U105/U98*U103)</f>
        <v>0</v>
      </c>
      <c r="V107" s="46" t="n">
        <f aca="false">IF(V98=0,0,V105/V98*V103)</f>
        <v>0</v>
      </c>
      <c r="W107" s="46" t="n">
        <f aca="false">IF(W98=0,0,W105/W98*W103)</f>
        <v>0</v>
      </c>
      <c r="X107" s="46" t="n">
        <f aca="false">IF(X98=0,0,X105/X98*X103)</f>
        <v>0</v>
      </c>
      <c r="Y107" s="46" t="n">
        <f aca="false">IF(Y98=0,0,Y105/Y98*Y103)</f>
        <v>0</v>
      </c>
      <c r="Z107" s="46" t="n">
        <f aca="false">IF(Z98=0,0,Z105/Z98*Z103)</f>
        <v>0</v>
      </c>
    </row>
    <row r="110" customFormat="false" ht="15" hidden="false" customHeight="false" outlineLevel="0" collapsed="false">
      <c r="A110" s="23" t="s">
        <v>230</v>
      </c>
    </row>
    <row r="111" customFormat="false" ht="15" hidden="false" customHeight="false" outlineLevel="0" collapsed="false">
      <c r="B111" s="23" t="s">
        <v>225</v>
      </c>
      <c r="C111" s="52" t="n">
        <f aca="false">C15+C32+C49+C66+C83+C100</f>
        <v>33830.8279052</v>
      </c>
      <c r="D111" s="52" t="n">
        <f aca="false">D15+D32+D49+D66+D83+D100</f>
        <v>67594.1954039645</v>
      </c>
      <c r="E111" s="52" t="n">
        <f aca="false">E15+E32+E49+E66+E83+E100</f>
        <v>101291.966778468</v>
      </c>
      <c r="F111" s="52" t="n">
        <f aca="false">F15+F32+F49+F66+F83+F100</f>
        <v>102925.960515487</v>
      </c>
      <c r="G111" s="52" t="n">
        <f aca="false">G15+G32+G49+G66+G83+G100</f>
        <v>104423.339373417</v>
      </c>
      <c r="H111" s="52" t="n">
        <f aca="false">H15+H32+H49+H66+H83+H100</f>
        <v>105863.193563069</v>
      </c>
      <c r="I111" s="52" t="n">
        <f aca="false">I15+I32+I49+I66+I83+I100</f>
        <v>105836.297949668</v>
      </c>
      <c r="J111" s="52" t="n">
        <f aca="false">J15+J32+J49+J66+J83+J100</f>
        <v>105807.045550235</v>
      </c>
      <c r="K111" s="52" t="n">
        <f aca="false">K15+K32+K49+K66+K83+K100</f>
        <v>105775.532334148</v>
      </c>
      <c r="L111" s="52" t="n">
        <f aca="false">L15+L32+L49+L66+L83+L100</f>
        <v>105595.433106221</v>
      </c>
      <c r="M111" s="52" t="n">
        <f aca="false">M15+M32+M49+M66+M83+M100</f>
        <v>105418.65193104</v>
      </c>
      <c r="N111" s="52" t="n">
        <f aca="false">N15+N32+N49+N66+N83+N100</f>
        <v>105245.127678559</v>
      </c>
      <c r="O111" s="52" t="n">
        <f aca="false">O15+O32+O49+O66+O83+O100</f>
        <v>105074.80034496</v>
      </c>
      <c r="P111" s="52" t="n">
        <f aca="false">P15+P32+P49+P66+P83+P100</f>
        <v>104907.611031903</v>
      </c>
      <c r="Q111" s="52" t="n">
        <f aca="false">Q15+Q32+Q49+Q66+Q83+Q100</f>
        <v>104743.50192616</v>
      </c>
      <c r="R111" s="52" t="n">
        <f aca="false">R15+R32+R49+R66+R83+R100</f>
        <v>104582.416279625</v>
      </c>
      <c r="S111" s="52" t="n">
        <f aca="false">S15+S32+S49+S66+S83+S100</f>
        <v>104424.298389686</v>
      </c>
      <c r="T111" s="52" t="n">
        <f aca="false">T15+T32+T49+T66+T83+T100</f>
        <v>104269.093579969</v>
      </c>
      <c r="U111" s="52" t="n">
        <f aca="false">U15+U32+U49+U66+U83+U100</f>
        <v>104116.748181428</v>
      </c>
      <c r="V111" s="52" t="n">
        <f aca="false">V15+V32+V49+V66+V83+V100</f>
        <v>103967.209513785</v>
      </c>
      <c r="W111" s="52" t="n">
        <f aca="false">W15+W32+W49+W66+W83+W100</f>
        <v>103820.425867318</v>
      </c>
      <c r="X111" s="52" t="n">
        <f aca="false">X15+X32+X49+X66+X83+X100</f>
        <v>103676.346484977</v>
      </c>
      <c r="Y111" s="52" t="n">
        <f aca="false">Y15+Y32+Y49+Y66+Y83+Y100</f>
        <v>103534.921544832</v>
      </c>
      <c r="Z111" s="52" t="n">
        <f aca="false">Z15+Z32+Z49+Z66+Z83+Z100</f>
        <v>103396.102142847</v>
      </c>
    </row>
    <row r="112" customFormat="false" ht="15" hidden="false" customHeight="false" outlineLevel="0" collapsed="false">
      <c r="B112" s="23" t="s">
        <v>226</v>
      </c>
      <c r="C112" s="52" t="n">
        <f aca="false">C19+C36+C53+C70+C87+C104</f>
        <v>0</v>
      </c>
      <c r="D112" s="52" t="n">
        <f aca="false">D19+D36+D53+D70+D87+D104</f>
        <v>0</v>
      </c>
      <c r="E112" s="52" t="n">
        <f aca="false">E19+E36+E53+E70+E87+E104</f>
        <v>0</v>
      </c>
      <c r="F112" s="52" t="n">
        <f aca="false">F19+F36+F53+F70+F87+F104</f>
        <v>0</v>
      </c>
      <c r="G112" s="52" t="n">
        <f aca="false">G19+G36+G53+G70+G87+G104</f>
        <v>0</v>
      </c>
      <c r="H112" s="52" t="n">
        <f aca="false">H19+H36+H53+H70+H87+H104</f>
        <v>0</v>
      </c>
      <c r="I112" s="52" t="n">
        <f aca="false">I19+I36+I53+I70+I87+I104</f>
        <v>0</v>
      </c>
      <c r="J112" s="52" t="n">
        <f aca="false">J19+J36+J53+J70+J87+J104</f>
        <v>0</v>
      </c>
      <c r="K112" s="52" t="n">
        <f aca="false">K19+K36+K53+K70+K87+K104</f>
        <v>0</v>
      </c>
      <c r="L112" s="52" t="n">
        <f aca="false">L19+L36+L53+L70+L87+L104</f>
        <v>0</v>
      </c>
      <c r="M112" s="52" t="n">
        <f aca="false">M19+M36+M53+M70+M87+M104</f>
        <v>0</v>
      </c>
      <c r="N112" s="52" t="n">
        <f aca="false">N19+N36+N53+N70+N87+N104</f>
        <v>0</v>
      </c>
      <c r="O112" s="52" t="n">
        <f aca="false">O19+O36+O53+O70+O87+O104</f>
        <v>0</v>
      </c>
      <c r="P112" s="52" t="n">
        <f aca="false">P19+P36+P53+P70+P87+P104</f>
        <v>0</v>
      </c>
      <c r="Q112" s="52" t="n">
        <f aca="false">Q19+Q36+Q53+Q70+Q87+Q104</f>
        <v>0</v>
      </c>
      <c r="R112" s="52" t="n">
        <f aca="false">R19+R36+R53+R70+R87+R104</f>
        <v>0</v>
      </c>
      <c r="S112" s="52" t="n">
        <f aca="false">S19+S36+S53+S70+S87+S104</f>
        <v>0</v>
      </c>
      <c r="T112" s="52" t="n">
        <f aca="false">T19+T36+T53+T70+T87+T104</f>
        <v>0</v>
      </c>
      <c r="U112" s="52" t="n">
        <f aca="false">U19+U36+U53+U70+U87+U104</f>
        <v>0</v>
      </c>
      <c r="V112" s="52" t="n">
        <f aca="false">V19+V36+V53+V70+V87+V104</f>
        <v>0</v>
      </c>
      <c r="W112" s="52" t="n">
        <f aca="false">W19+W36+W53+W70+W87+W104</f>
        <v>0</v>
      </c>
      <c r="X112" s="52" t="n">
        <f aca="false">X19+X36+X53+X70+X87+X104</f>
        <v>0</v>
      </c>
      <c r="Y112" s="52" t="n">
        <f aca="false">Y19+Y36+Y53+Y70+Y87+Y104</f>
        <v>0</v>
      </c>
      <c r="Z112" s="52" t="n">
        <f aca="false">Z19+Z36+Z53+Z70+Z87+Z104</f>
        <v>0</v>
      </c>
    </row>
    <row r="113" customFormat="false" ht="15" hidden="false" customHeight="false" outlineLevel="0" collapsed="false">
      <c r="B113" s="23" t="s">
        <v>231</v>
      </c>
      <c r="C113" s="52" t="n">
        <f aca="false">SUMPRODUCT('Fixed costs'!$B$5:$B$11,('Fixed costs'!$C$5:$C$11&lt;=C$4)*('Fixed costs'!$D$5:$D$11&gt;=C$4))*Assumptions!$B$34</f>
        <v>114000</v>
      </c>
      <c r="D113" s="52" t="n">
        <f aca="false">SUMPRODUCT('Fixed costs'!$B$5:$B$11,('Fixed costs'!$C$5:$C$11&lt;=D$4)*('Fixed costs'!$D$5:$D$11&gt;=D$4))*Assumptions!$B$34</f>
        <v>114000</v>
      </c>
      <c r="E113" s="52" t="n">
        <f aca="false">SUMPRODUCT('Fixed costs'!$B$5:$B$11,('Fixed costs'!$C$5:$C$11&lt;=E$4)*('Fixed costs'!$D$5:$D$11&gt;=E$4))*Assumptions!$B$34</f>
        <v>114000</v>
      </c>
      <c r="F113" s="52" t="n">
        <f aca="false">SUMPRODUCT('Fixed costs'!$B$5:$B$11,('Fixed costs'!$C$5:$C$11&lt;=F$4)*('Fixed costs'!$D$5:$D$11&gt;=F$4))*Assumptions!$B$34</f>
        <v>114000</v>
      </c>
      <c r="G113" s="52" t="n">
        <f aca="false">SUMPRODUCT('Fixed costs'!$B$5:$B$11,('Fixed costs'!$C$5:$C$11&lt;=G$4)*('Fixed costs'!$D$5:$D$11&gt;=G$4))*Assumptions!$B$34</f>
        <v>114000</v>
      </c>
      <c r="H113" s="52" t="n">
        <f aca="false">SUMPRODUCT('Fixed costs'!$B$5:$B$11,('Fixed costs'!$C$5:$C$11&lt;=H$4)*('Fixed costs'!$D$5:$D$11&gt;=H$4))*Assumptions!$B$34</f>
        <v>114000</v>
      </c>
      <c r="I113" s="52" t="n">
        <f aca="false">SUMPRODUCT('Fixed costs'!$B$5:$B$11,('Fixed costs'!$C$5:$C$11&lt;=I$4)*('Fixed costs'!$D$5:$D$11&gt;=I$4))*Assumptions!$B$34</f>
        <v>114000</v>
      </c>
      <c r="J113" s="52" t="n">
        <f aca="false">SUMPRODUCT('Fixed costs'!$B$5:$B$11,('Fixed costs'!$C$5:$C$11&lt;=J$4)*('Fixed costs'!$D$5:$D$11&gt;=J$4))*Assumptions!$B$34</f>
        <v>114000</v>
      </c>
      <c r="K113" s="52" t="n">
        <f aca="false">SUMPRODUCT('Fixed costs'!$B$5:$B$11,('Fixed costs'!$C$5:$C$11&lt;=K$4)*('Fixed costs'!$D$5:$D$11&gt;=K$4))*Assumptions!$B$34</f>
        <v>114000</v>
      </c>
      <c r="L113" s="52" t="n">
        <f aca="false">SUMPRODUCT('Fixed costs'!$B$5:$B$11,('Fixed costs'!$C$5:$C$11&lt;=L$4)*('Fixed costs'!$D$5:$D$11&gt;=L$4))*Assumptions!$B$34</f>
        <v>114000</v>
      </c>
      <c r="M113" s="52" t="n">
        <f aca="false">SUMPRODUCT('Fixed costs'!$B$5:$B$11,('Fixed costs'!$C$5:$C$11&lt;=M$4)*('Fixed costs'!$D$5:$D$11&gt;=M$4))*Assumptions!$B$34</f>
        <v>114000</v>
      </c>
      <c r="N113" s="52" t="n">
        <f aca="false">SUMPRODUCT('Fixed costs'!$B$5:$B$11,('Fixed costs'!$C$5:$C$11&lt;=N$4)*('Fixed costs'!$D$5:$D$11&gt;=N$4))*Assumptions!$B$34</f>
        <v>114000</v>
      </c>
      <c r="O113" s="52" t="n">
        <f aca="false">SUMPRODUCT('Fixed costs'!$B$5:$B$11,('Fixed costs'!$C$5:$C$11&lt;=O$4)*('Fixed costs'!$D$5:$D$11&gt;=O$4))*Assumptions!$B$34</f>
        <v>102000</v>
      </c>
      <c r="P113" s="52" t="n">
        <f aca="false">SUMPRODUCT('Fixed costs'!$B$5:$B$11,('Fixed costs'!$C$5:$C$11&lt;=P$4)*('Fixed costs'!$D$5:$D$11&gt;=P$4))*Assumptions!$B$34</f>
        <v>102000</v>
      </c>
      <c r="Q113" s="52" t="n">
        <f aca="false">SUMPRODUCT('Fixed costs'!$B$5:$B$11,('Fixed costs'!$C$5:$C$11&lt;=Q$4)*('Fixed costs'!$D$5:$D$11&gt;=Q$4))*Assumptions!$B$34</f>
        <v>102000</v>
      </c>
      <c r="R113" s="52" t="n">
        <f aca="false">SUMPRODUCT('Fixed costs'!$B$5:$B$11,('Fixed costs'!$C$5:$C$11&lt;=R$4)*('Fixed costs'!$D$5:$D$11&gt;=R$4))*Assumptions!$B$34</f>
        <v>102000</v>
      </c>
      <c r="S113" s="52" t="n">
        <f aca="false">SUMPRODUCT('Fixed costs'!$B$5:$B$11,('Fixed costs'!$C$5:$C$11&lt;=S$4)*('Fixed costs'!$D$5:$D$11&gt;=S$4))*Assumptions!$B$34</f>
        <v>102000</v>
      </c>
      <c r="T113" s="52" t="n">
        <f aca="false">SUMPRODUCT('Fixed costs'!$B$5:$B$11,('Fixed costs'!$C$5:$C$11&lt;=T$4)*('Fixed costs'!$D$5:$D$11&gt;=T$4))*Assumptions!$B$34</f>
        <v>102000</v>
      </c>
      <c r="U113" s="52" t="n">
        <f aca="false">SUMPRODUCT('Fixed costs'!$B$5:$B$11,('Fixed costs'!$C$5:$C$11&lt;=U$4)*('Fixed costs'!$D$5:$D$11&gt;=U$4))*Assumptions!$B$34</f>
        <v>102000</v>
      </c>
      <c r="V113" s="52" t="n">
        <f aca="false">SUMPRODUCT('Fixed costs'!$B$5:$B$11,('Fixed costs'!$C$5:$C$11&lt;=V$4)*('Fixed costs'!$D$5:$D$11&gt;=V$4))*Assumptions!$B$34</f>
        <v>102000</v>
      </c>
      <c r="W113" s="52" t="n">
        <f aca="false">SUMPRODUCT('Fixed costs'!$B$5:$B$11,('Fixed costs'!$C$5:$C$11&lt;=W$4)*('Fixed costs'!$D$5:$D$11&gt;=W$4))*Assumptions!$B$34</f>
        <v>102000</v>
      </c>
      <c r="X113" s="52" t="n">
        <f aca="false">SUMPRODUCT('Fixed costs'!$B$5:$B$11,('Fixed costs'!$C$5:$C$11&lt;=X$4)*('Fixed costs'!$D$5:$D$11&gt;=X$4))*Assumptions!$B$34</f>
        <v>102000</v>
      </c>
      <c r="Y113" s="52" t="n">
        <f aca="false">SUMPRODUCT('Fixed costs'!$B$5:$B$11,('Fixed costs'!$C$5:$C$11&lt;=Y$4)*('Fixed costs'!$D$5:$D$11&gt;=Y$4))*Assumptions!$B$34</f>
        <v>102000</v>
      </c>
      <c r="Z113" s="52" t="n">
        <f aca="false">SUMPRODUCT('Fixed costs'!$B$5:$B$11,('Fixed costs'!$C$5:$C$11&lt;=Z$4)*('Fixed costs'!$D$5:$D$11&gt;=Z$4))*Assumptions!$B$34</f>
        <v>102000</v>
      </c>
    </row>
    <row r="114" customFormat="false" ht="15" hidden="false" customHeight="false" outlineLevel="0" collapsed="false">
      <c r="B114" s="23" t="s">
        <v>26</v>
      </c>
      <c r="C114" s="52" t="n">
        <f aca="false">C111+C112+C113</f>
        <v>147830.8279052</v>
      </c>
      <c r="D114" s="52" t="n">
        <f aca="false">D111+D112+D113</f>
        <v>181594.195403965</v>
      </c>
      <c r="E114" s="52" t="n">
        <f aca="false">E111+E112+E113</f>
        <v>215291.966778468</v>
      </c>
      <c r="F114" s="52" t="n">
        <f aca="false">F111+F112+F113</f>
        <v>216925.960515487</v>
      </c>
      <c r="G114" s="52" t="n">
        <f aca="false">G111+G112+G113</f>
        <v>218423.339373417</v>
      </c>
      <c r="H114" s="52" t="n">
        <f aca="false">H111+H112+H113</f>
        <v>219863.193563069</v>
      </c>
      <c r="I114" s="52" t="n">
        <f aca="false">I111+I112+I113</f>
        <v>219836.297949668</v>
      </c>
      <c r="J114" s="52" t="n">
        <f aca="false">J111+J112+J113</f>
        <v>219807.045550235</v>
      </c>
      <c r="K114" s="52" t="n">
        <f aca="false">K111+K112+K113</f>
        <v>219775.532334148</v>
      </c>
      <c r="L114" s="52" t="n">
        <f aca="false">L111+L112+L113</f>
        <v>219595.433106221</v>
      </c>
      <c r="M114" s="52" t="n">
        <f aca="false">M111+M112+M113</f>
        <v>219418.65193104</v>
      </c>
      <c r="N114" s="52" t="n">
        <f aca="false">N111+N112+N113</f>
        <v>219245.127678559</v>
      </c>
      <c r="O114" s="52" t="n">
        <f aca="false">O111+O112+O113</f>
        <v>207074.80034496</v>
      </c>
      <c r="P114" s="52" t="n">
        <f aca="false">P111+P112+P113</f>
        <v>206907.611031903</v>
      </c>
      <c r="Q114" s="52" t="n">
        <f aca="false">Q111+Q112+Q113</f>
        <v>206743.50192616</v>
      </c>
      <c r="R114" s="52" t="n">
        <f aca="false">R111+R112+R113</f>
        <v>206582.416279625</v>
      </c>
      <c r="S114" s="52" t="n">
        <f aca="false">S111+S112+S113</f>
        <v>206424.298389686</v>
      </c>
      <c r="T114" s="52" t="n">
        <f aca="false">T111+T112+T113</f>
        <v>206269.093579969</v>
      </c>
      <c r="U114" s="52" t="n">
        <f aca="false">U111+U112+U113</f>
        <v>206116.748181428</v>
      </c>
      <c r="V114" s="52" t="n">
        <f aca="false">V111+V112+V113</f>
        <v>205967.209513785</v>
      </c>
      <c r="W114" s="52" t="n">
        <f aca="false">W111+W112+W113</f>
        <v>205820.425867318</v>
      </c>
      <c r="X114" s="52" t="n">
        <f aca="false">X111+X112+X113</f>
        <v>205676.346484977</v>
      </c>
      <c r="Y114" s="52" t="n">
        <f aca="false">Y111+Y112+Y113</f>
        <v>205534.921544832</v>
      </c>
      <c r="Z114" s="52" t="n">
        <f aca="false">Z111+Z112+Z113</f>
        <v>205396.102142847</v>
      </c>
    </row>
    <row r="115" customFormat="false" ht="15" hidden="false" customHeight="false" outlineLevel="0" collapsed="false">
      <c r="B115" s="23" t="s">
        <v>32</v>
      </c>
      <c r="C115" s="48" t="n">
        <f aca="false">C16+C33+C50+C67+C84+C101</f>
        <v>4834.0961507992</v>
      </c>
      <c r="D115" s="48" t="n">
        <f aca="false">D16+D33+D50+D67+D84+D101</f>
        <v>9701.77913139782</v>
      </c>
      <c r="E115" s="48" t="n">
        <f aca="false">E16+E33+E50+E67+E84+E101</f>
        <v>14603.9945419655</v>
      </c>
      <c r="F115" s="48" t="n">
        <f aca="false">F16+F33+F50+F67+F84+F101</f>
        <v>18595.6504018909</v>
      </c>
      <c r="G115" s="48" t="n">
        <f aca="false">G16+G33+G50+G67+G84+G101</f>
        <v>20036.7876915475</v>
      </c>
      <c r="H115" s="48" t="n">
        <f aca="false">H16+H33+H50+H67+H84+H101</f>
        <v>21478.9248316502</v>
      </c>
      <c r="I115" s="48" t="n">
        <f aca="false">I16+I33+I50+I67+I84+I101</f>
        <v>21869.6305886572</v>
      </c>
      <c r="J115" s="48" t="n">
        <f aca="false">J16+J33+J50+J67+J84+J101</f>
        <v>22261.374081259</v>
      </c>
      <c r="K115" s="48" t="n">
        <f aca="false">K16+K33+K50+K67+K84+K101</f>
        <v>22654.1747869903</v>
      </c>
      <c r="L115" s="48" t="n">
        <f aca="false">L16+L33+L50+L67+L84+L101</f>
        <v>22712.6358822978</v>
      </c>
      <c r="M115" s="48" t="n">
        <f aca="false">M16+M33+M50+M67+M84+M101</f>
        <v>22772.1942494025</v>
      </c>
      <c r="N115" s="48" t="n">
        <f aca="false">N16+N33+N50+N67+N84+N101</f>
        <v>22832.8704832895</v>
      </c>
      <c r="O115" s="48" t="n">
        <f aca="false">O16+O33+O50+O67+O84+O101</f>
        <v>22894.685565497</v>
      </c>
      <c r="P115" s="48" t="n">
        <f aca="false">P16+P33+P50+P67+P84+P101</f>
        <v>22957.6608713709</v>
      </c>
      <c r="Q115" s="48" t="n">
        <f aca="false">Q16+Q33+Q50+Q67+Q84+Q101</f>
        <v>23021.8181774569</v>
      </c>
      <c r="R115" s="48" t="n">
        <f aca="false">R16+R33+R50+R67+R84+R101</f>
        <v>23087.1796690303</v>
      </c>
      <c r="S115" s="48" t="n">
        <f aca="false">S16+S33+S50+S67+S84+S101</f>
        <v>23153.7679477677</v>
      </c>
      <c r="T115" s="48" t="n">
        <f aca="false">T16+T33+T50+T67+T84+T101</f>
        <v>23221.6060395628</v>
      </c>
      <c r="U115" s="48" t="n">
        <f aca="false">U16+U33+U50+U67+U84+U101</f>
        <v>23290.7174024881</v>
      </c>
      <c r="V115" s="48" t="n">
        <f aca="false">V16+V33+V50+V67+V84+V101</f>
        <v>23361.1259349071</v>
      </c>
      <c r="W115" s="48" t="n">
        <f aca="false">W16+W33+W50+W67+W84+W101</f>
        <v>23432.8559837378</v>
      </c>
      <c r="X115" s="48" t="n">
        <f aca="false">X16+X33+X50+X67+X84+X101</f>
        <v>23505.9323528723</v>
      </c>
      <c r="Y115" s="48" t="n">
        <f aca="false">Y16+Y33+Y50+Y67+Y84+Y101</f>
        <v>23580.3803117531</v>
      </c>
      <c r="Z115" s="48" t="n">
        <f aca="false">Z16+Z33+Z50+Z67+Z84+Z101</f>
        <v>23656.2256041119</v>
      </c>
    </row>
    <row r="116" customFormat="false" ht="15" hidden="false" customHeight="false" outlineLevel="0" collapsed="false">
      <c r="B116" s="23" t="s">
        <v>34</v>
      </c>
      <c r="C116" s="52" t="n">
        <f aca="false">C17+C34+C51+C68+C85+C102</f>
        <v>316811.493254579</v>
      </c>
      <c r="D116" s="52" t="n">
        <f aca="false">D17+D34+D51+D68+D85+D102</f>
        <v>637317.537787094</v>
      </c>
      <c r="E116" s="52" t="n">
        <f aca="false">E17+E34+E51+E68+E85+E102</f>
        <v>961622.149616206</v>
      </c>
      <c r="F116" s="52" t="n">
        <f aca="false">F17+F34+F51+F68+F85+F102</f>
        <v>1185765.21087466</v>
      </c>
      <c r="G116" s="52" t="n">
        <f aca="false">G17+G34+G51+G68+G85+G102</f>
        <v>1295198.72940356</v>
      </c>
      <c r="H116" s="52" t="n">
        <f aca="false">H17+H34+H51+H68+H85+H102</f>
        <v>1404742.23148153</v>
      </c>
      <c r="I116" s="52" t="n">
        <f aca="false">I17+I34+I51+I68+I85+I102</f>
        <v>1441011.53141895</v>
      </c>
      <c r="J116" s="52" t="n">
        <f aca="false">J17+J34+J51+J68+J85+J102</f>
        <v>1477394.98227182</v>
      </c>
      <c r="K116" s="52" t="n">
        <f aca="false">K17+K34+K51+K68+K85+K102</f>
        <v>1513894.72656893</v>
      </c>
      <c r="L116" s="52" t="n">
        <f aca="false">L17+L34+L51+L68+L85+L102</f>
        <v>1520325.44705276</v>
      </c>
      <c r="M116" s="52" t="n">
        <f aca="false">M17+M34+M51+M68+M85+M102</f>
        <v>1526876.86743427</v>
      </c>
      <c r="N116" s="52" t="n">
        <f aca="false">N17+N34+N51+N68+N85+N102</f>
        <v>1533551.25316185</v>
      </c>
      <c r="O116" s="52" t="n">
        <f aca="false">O17+O34+O51+O68+O85+O102</f>
        <v>1540350.91220467</v>
      </c>
      <c r="P116" s="52" t="n">
        <f aca="false">P17+P34+P51+P68+P85+P102</f>
        <v>1547278.1958508</v>
      </c>
      <c r="Q116" s="52" t="n">
        <f aca="false">Q17+Q34+Q51+Q68+Q85+Q102</f>
        <v>1554335.49952026</v>
      </c>
      <c r="R116" s="52" t="n">
        <f aca="false">R17+R34+R51+R68+R85+R102</f>
        <v>1561525.26359333</v>
      </c>
      <c r="S116" s="52" t="n">
        <f aca="false">S17+S34+S51+S68+S85+S102</f>
        <v>1568849.97425445</v>
      </c>
      <c r="T116" s="52" t="n">
        <f aca="false">T17+T34+T51+T68+T85+T102</f>
        <v>1576312.16435191</v>
      </c>
      <c r="U116" s="52" t="n">
        <f aca="false">U17+U34+U51+U68+U85+U102</f>
        <v>1583914.41427369</v>
      </c>
      <c r="V116" s="52" t="n">
        <f aca="false">V17+V34+V51+V68+V85+V102</f>
        <v>1591659.35283978</v>
      </c>
      <c r="W116" s="52" t="n">
        <f aca="false">W17+W34+W51+W68+W85+W102</f>
        <v>1599549.65821116</v>
      </c>
      <c r="X116" s="52" t="n">
        <f aca="false">X17+X34+X51+X68+X85+X102</f>
        <v>1607588.05881595</v>
      </c>
      <c r="Y116" s="52" t="n">
        <f aca="false">Y17+Y34+Y51+Y68+Y85+Y102</f>
        <v>1615777.33429284</v>
      </c>
      <c r="Z116" s="52" t="n">
        <f aca="false">Z17+Z34+Z51+Z68+Z85+Z102</f>
        <v>1624120.31645231</v>
      </c>
    </row>
    <row r="117" customFormat="false" ht="15" hidden="false" customHeight="false" outlineLevel="0" collapsed="false">
      <c r="B117" s="23" t="inlineStr">
        <is>
          <t>Planned benefit ($)</t>
        </is>
      </c>
      <c r="C117" s="52" t="n">
        <f aca="false">C18+C35+C52+C69+C86+C103</f>
        <v>0</v>
      </c>
      <c r="D117" s="52" t="n">
        <f aca="false">D18+D35+D52+D69+D86+D103</f>
        <v>0</v>
      </c>
      <c r="E117" s="52" t="n">
        <f aca="false">E18+E35+E52+E69+E86+E103</f>
        <v>153224.199808103</v>
      </c>
      <c r="F117" s="52" t="n">
        <f aca="false">F18+F35+F52+F69+F86+F103</f>
        <v>291841.305437332</v>
      </c>
      <c r="G117" s="52" t="n">
        <f aca="false">G18+G35+G52+G69+G86+G103</f>
        <v>328706.48970178</v>
      </c>
      <c r="H117" s="52" t="n">
        <f aca="false">H18+H35+H52+H69+H86+H103</f>
        <v>539632.665740763</v>
      </c>
      <c r="I117" s="52" t="n">
        <f aca="false">I18+I35+I52+I69+I86+I103</f>
        <v>548711.065709477</v>
      </c>
      <c r="J117" s="52" t="n">
        <f aca="false">J18+J35+J52+J69+J86+J103</f>
        <v>557846.541135911</v>
      </c>
      <c r="K117" s="52" t="n">
        <f aca="false">K18+K35+K52+K69+K86+K103</f>
        <v>567040.163284464</v>
      </c>
      <c r="L117" s="52" t="n">
        <f aca="false">L18+L35+L52+L69+L86+L103</f>
        <v>570255.523526379</v>
      </c>
      <c r="M117" s="52" t="n">
        <f aca="false">M18+M35+M52+M69+M86+M103</f>
        <v>573531.233717136</v>
      </c>
      <c r="N117" s="52" t="n">
        <f aca="false">N18+N35+N52+N69+N86+N103</f>
        <v>576868.426580924</v>
      </c>
      <c r="O117" s="52" t="n">
        <f aca="false">O18+O35+O52+O69+O86+O103</f>
        <v>580268.256102335</v>
      </c>
      <c r="P117" s="52" t="n">
        <f aca="false">P18+P35+P52+P69+P86+P103</f>
        <v>583731.8979254</v>
      </c>
      <c r="Q117" s="52" t="n">
        <f aca="false">Q18+Q35+Q52+Q69+Q86+Q103</f>
        <v>587260.549760129</v>
      </c>
      <c r="R117" s="52" t="n">
        <f aca="false">R18+R35+R52+R69+R86+R103</f>
        <v>590855.431796665</v>
      </c>
      <c r="S117" s="52" t="n">
        <f aca="false">S18+S35+S52+S69+S86+S103</f>
        <v>594517.787127225</v>
      </c>
      <c r="T117" s="52" t="n">
        <f aca="false">T18+T35+T52+T69+T86+T103</f>
        <v>598248.882175954</v>
      </c>
      <c r="U117" s="52" t="n">
        <f aca="false">U18+U35+U52+U69+U86+U103</f>
        <v>602050.007136846</v>
      </c>
      <c r="V117" s="52" t="n">
        <f aca="false">V18+V35+V52+V69+V86+V103</f>
        <v>605922.476419889</v>
      </c>
      <c r="W117" s="52" t="n">
        <f aca="false">W18+W35+W52+W69+W86+W103</f>
        <v>609867.629105581</v>
      </c>
      <c r="X117" s="52" t="n">
        <f aca="false">X18+X35+X52+X69+X86+X103</f>
        <v>613886.829407974</v>
      </c>
      <c r="Y117" s="52" t="n">
        <f aca="false">Y18+Y35+Y52+Y69+Y86+Y103</f>
        <v>617981.46714642</v>
      </c>
      <c r="Z117" s="52" t="n">
        <f aca="false">Z18+Z35+Z52+Z69+Z86+Z103</f>
        <v>622152.958226156</v>
      </c>
    </row>
    <row r="118" customFormat="false" ht="15" hidden="false" customHeight="false" outlineLevel="0" collapsed="false">
      <c r="B118" s="23" t="inlineStr">
        <is>
          <t>Net planned benefit ($)</t>
        </is>
      </c>
      <c r="C118" s="52" t="n">
        <f aca="false">C117-C114</f>
        <v>-147830.8279052</v>
      </c>
      <c r="D118" s="52" t="n">
        <f aca="false">D117-D114</f>
        <v>-181594.195403965</v>
      </c>
      <c r="E118" s="52" t="n">
        <f aca="false">E117-E114</f>
        <v>-62067.7669703644</v>
      </c>
      <c r="F118" s="52" t="n">
        <f aca="false">F117-F114</f>
        <v>74915.344921845</v>
      </c>
      <c r="G118" s="52" t="n">
        <f aca="false">G117-G114</f>
        <v>110283.150328364</v>
      </c>
      <c r="H118" s="52" t="n">
        <f aca="false">H117-H114</f>
        <v>319769.472177695</v>
      </c>
      <c r="I118" s="52" t="n">
        <f aca="false">I117-I114</f>
        <v>328874.767759809</v>
      </c>
      <c r="J118" s="52" t="n">
        <f aca="false">J117-J114</f>
        <v>338039.495585676</v>
      </c>
      <c r="K118" s="52" t="n">
        <f aca="false">K117-K114</f>
        <v>347264.630950317</v>
      </c>
      <c r="L118" s="52" t="n">
        <f aca="false">L117-L114</f>
        <v>350660.090420158</v>
      </c>
      <c r="M118" s="52" t="n">
        <f aca="false">M117-M114</f>
        <v>354112.581786096</v>
      </c>
      <c r="N118" s="52" t="n">
        <f aca="false">N117-N114</f>
        <v>357623.298902365</v>
      </c>
      <c r="O118" s="52" t="n">
        <f aca="false">O117-O114</f>
        <v>373193.455757375</v>
      </c>
      <c r="P118" s="52" t="n">
        <f aca="false">P117-P114</f>
        <v>376824.286893497</v>
      </c>
      <c r="Q118" s="52" t="n">
        <f aca="false">Q117-Q114</f>
        <v>380517.047833968</v>
      </c>
      <c r="R118" s="52" t="n">
        <f aca="false">R117-R114</f>
        <v>384273.01551704</v>
      </c>
      <c r="S118" s="52" t="n">
        <f aca="false">S117-S114</f>
        <v>388093.488737539</v>
      </c>
      <c r="T118" s="52" t="n">
        <f aca="false">T117-T114</f>
        <v>391979.788595985</v>
      </c>
      <c r="U118" s="52" t="n">
        <f aca="false">U117-U114</f>
        <v>395933.258955419</v>
      </c>
      <c r="V118" s="52" t="n">
        <f aca="false">V117-V114</f>
        <v>399955.266906104</v>
      </c>
      <c r="W118" s="52" t="n">
        <f aca="false">W117-W114</f>
        <v>404047.203238262</v>
      </c>
      <c r="X118" s="52" t="n">
        <f aca="false">X117-X114</f>
        <v>408210.482922997</v>
      </c>
      <c r="Y118" s="52" t="n">
        <f aca="false">Y117-Y114</f>
        <v>412446.545601588</v>
      </c>
      <c r="Z118" s="52" t="n">
        <f aca="false">Z117-Z114</f>
        <v>416756.856083308</v>
      </c>
    </row>
    <row r="119" customFormat="false" ht="15" hidden="false" customHeight="false" outlineLevel="0" collapsed="false">
      <c r="B119" s="23" t="inlineStr">
        <is>
          <t>Cumulative net planned benefit ($)</t>
        </is>
      </c>
      <c r="C119" s="52" t="n">
        <f aca="false">C118</f>
        <v>-147830.8279052</v>
      </c>
      <c r="D119" s="52" t="n">
        <f aca="false">C119+D118</f>
        <v>-329425.023309164</v>
      </c>
      <c r="E119" s="52" t="n">
        <f aca="false">D119+E118</f>
        <v>-391492.790279529</v>
      </c>
      <c r="F119" s="52" t="n">
        <f aca="false">E119+F118</f>
        <v>-316577.445357684</v>
      </c>
      <c r="G119" s="52" t="n">
        <f aca="false">F119+G118</f>
        <v>-206294.29502932</v>
      </c>
      <c r="H119" s="52" t="n">
        <f aca="false">G119+H118</f>
        <v>113475.177148375</v>
      </c>
      <c r="I119" s="52" t="n">
        <f aca="false">H119+I118</f>
        <v>442349.944908183</v>
      </c>
      <c r="J119" s="52" t="n">
        <f aca="false">I119+J118</f>
        <v>780389.440493859</v>
      </c>
      <c r="K119" s="52" t="n">
        <f aca="false">J119+K118</f>
        <v>1127654.07144418</v>
      </c>
      <c r="L119" s="52" t="n">
        <f aca="false">K119+L118</f>
        <v>1478314.16186433</v>
      </c>
      <c r="M119" s="52" t="n">
        <f aca="false">L119+M118</f>
        <v>1832426.74365043</v>
      </c>
      <c r="N119" s="52" t="n">
        <f aca="false">M119+N118</f>
        <v>2190050.0425528</v>
      </c>
      <c r="O119" s="52" t="n">
        <f aca="false">N119+O118</f>
        <v>2563243.49831017</v>
      </c>
      <c r="P119" s="52" t="n">
        <f aca="false">O119+P118</f>
        <v>2940067.78520367</v>
      </c>
      <c r="Q119" s="52" t="n">
        <f aca="false">P119+Q118</f>
        <v>3320584.83303764</v>
      </c>
      <c r="R119" s="52" t="n">
        <f aca="false">Q119+R118</f>
        <v>3704857.84855468</v>
      </c>
      <c r="S119" s="52" t="n">
        <f aca="false">R119+S118</f>
        <v>4092951.33729221</v>
      </c>
      <c r="T119" s="52" t="n">
        <f aca="false">S119+T118</f>
        <v>4484931.1258882</v>
      </c>
      <c r="U119" s="52" t="n">
        <f aca="false">T119+U118</f>
        <v>4880864.38484362</v>
      </c>
      <c r="V119" s="52" t="n">
        <f aca="false">U119+V118</f>
        <v>5280819.65174972</v>
      </c>
      <c r="W119" s="52" t="n">
        <f aca="false">V119+W118</f>
        <v>5684866.85498798</v>
      </c>
      <c r="X119" s="52" t="n">
        <f aca="false">W119+X118</f>
        <v>6093077.33791098</v>
      </c>
      <c r="Y119" s="52" t="n">
        <f aca="false">X119+Y118</f>
        <v>6505523.88351257</v>
      </c>
      <c r="Z119" s="52" t="n">
        <f aca="false">Y119+Z118</f>
        <v>6922280.73959588</v>
      </c>
    </row>
    <row r="120" customFormat="false" ht="15" hidden="false" customHeight="false" outlineLevel="0" collapsed="false">
      <c r="B120" s="23" t="s">
        <v>88</v>
      </c>
      <c r="C120" s="48" t="n">
        <f aca="false">C13+C30+C47+C64+C81+C98</f>
        <v>139902.575485033</v>
      </c>
      <c r="D120" s="48" t="n">
        <f aca="false">D13+D30+D47+D64+D81+D98</f>
        <v>279954.425769176</v>
      </c>
      <c r="E120" s="48" t="n">
        <f aca="false">E13+E30+E47+E64+E81+E98</f>
        <v>420159.753519847</v>
      </c>
      <c r="F120" s="48" t="n">
        <f aca="false">F13+F30+F47+F64+F81+F98</f>
        <v>556318.14993433</v>
      </c>
      <c r="G120" s="48" t="n">
        <f aca="false">G13+G30+G47+G64+G81+G98</f>
        <v>579080.90825873</v>
      </c>
      <c r="H120" s="48" t="n">
        <f aca="false">H13+H30+H47+H64+H81+H98</f>
        <v>601848.11036289</v>
      </c>
      <c r="I120" s="48" t="n">
        <f aca="false">I13+I30+I47+I64+I81+I98</f>
        <v>610843.839653291</v>
      </c>
      <c r="J120" s="48" t="n">
        <f aca="false">J13+J30+J47+J64+J81+J98</f>
        <v>619844.181101892</v>
      </c>
      <c r="K120" s="48" t="n">
        <f aca="false">K13+K30+K47+K64+K81+K98</f>
        <v>628849.221275512</v>
      </c>
      <c r="L120" s="48" t="n">
        <f aca="false">L13+L30+L47+L64+L81+L98</f>
        <v>629109.048365768</v>
      </c>
      <c r="M120" s="48" t="n">
        <f aca="false">M13+M30+M47+M64+M81+M98</f>
        <v>629373.752219567</v>
      </c>
      <c r="N120" s="48" t="n">
        <f aca="false">N13+N30+N47+N64+N81+N98</f>
        <v>629643.424370176</v>
      </c>
      <c r="O120" s="48" t="n">
        <f aca="false">O13+O30+O47+O64+O81+O98</f>
        <v>629918.158068876</v>
      </c>
      <c r="P120" s="48" t="n">
        <f aca="false">P13+P30+P47+P64+P81+P98</f>
        <v>630198.048317204</v>
      </c>
      <c r="Q120" s="48" t="n">
        <f aca="false">Q13+Q30+Q47+Q64+Q81+Q98</f>
        <v>630483.191899808</v>
      </c>
      <c r="R120" s="48" t="n">
        <f aca="false">R13+R30+R47+R64+R81+R98</f>
        <v>630773.687417912</v>
      </c>
      <c r="S120" s="48" t="n">
        <f aca="false">S13+S30+S47+S64+S81+S98</f>
        <v>631069.635323412</v>
      </c>
      <c r="T120" s="48" t="n">
        <f aca="false">T13+T30+T47+T64+T81+T98</f>
        <v>631371.137953613</v>
      </c>
      <c r="U120" s="48" t="n">
        <f aca="false">U13+U30+U47+U64+U81+U98</f>
        <v>631678.299566614</v>
      </c>
      <c r="V120" s="48" t="n">
        <f aca="false">V13+V30+V47+V64+V81+V98</f>
        <v>631991.226377365</v>
      </c>
      <c r="W120" s="48" t="n">
        <f aca="false">W13+W30+W47+W64+W81+W98</f>
        <v>632310.02659439</v>
      </c>
      <c r="X120" s="48" t="n">
        <f aca="false">X13+X30+X47+X64+X81+X98</f>
        <v>632634.81045721</v>
      </c>
      <c r="Y120" s="48" t="n">
        <f aca="false">Y13+Y30+Y47+Y64+Y81+Y98</f>
        <v>632965.690274458</v>
      </c>
      <c r="Z120" s="48" t="n">
        <f aca="false">Z13+Z30+Z47+Z64+Z81+Z98</f>
        <v>633302.78046272</v>
      </c>
    </row>
    <row r="121" customFormat="false" ht="15" hidden="false" customHeight="false" outlineLevel="0" collapsed="false">
      <c r="B121" s="23" t="s">
        <v>224</v>
      </c>
      <c r="C121" s="48" t="n">
        <f aca="false">C14+C31+C48+C65+C82+C99</f>
        <v>122315.574065272</v>
      </c>
      <c r="D121" s="48" t="n">
        <f aca="false">D14+D31+D48+D65+D82+D99</f>
        <v>244728.176749964</v>
      </c>
      <c r="E121" s="48" t="n">
        <f aca="false">E14+E31+E48+E65+E82+E99</f>
        <v>367240.5397879</v>
      </c>
      <c r="F121" s="48" t="n">
        <f aca="false">F14+F31+F48+F65+F82+F99</f>
        <v>487122.397457314</v>
      </c>
      <c r="G121" s="48" t="n">
        <f aca="false">G14+G31+G48+G65+G82+G99</f>
        <v>504947.090368174</v>
      </c>
      <c r="H121" s="48" t="n">
        <f aca="false">H14+H31+H48+H65+H82+H99</f>
        <v>522774.671735878</v>
      </c>
      <c r="I121" s="48" t="n">
        <f aca="false">I14+I31+I48+I65+I82+I99</f>
        <v>529059.395774639</v>
      </c>
      <c r="J121" s="48" t="n">
        <f aca="false">J14+J31+J48+J65+J82+J99</f>
        <v>535347.11771623</v>
      </c>
      <c r="K121" s="48" t="n">
        <f aca="false">K14+K31+K48+K65+K82+K99</f>
        <v>541637.893829083</v>
      </c>
      <c r="L121" s="48" t="n">
        <f aca="false">L14+L31+L48+L65+L82+L99</f>
        <v>541806.781437749</v>
      </c>
      <c r="M121" s="48" t="n">
        <f aca="false">M14+M31+M48+M65+M82+M99</f>
        <v>541978.838942718</v>
      </c>
      <c r="N121" s="48" t="n">
        <f aca="false">N14+N31+N48+N65+N82+N99</f>
        <v>542154.125840614</v>
      </c>
      <c r="O121" s="48" t="n">
        <f aca="false">O14+O31+O48+O65+O82+O99</f>
        <v>542332.702744769</v>
      </c>
      <c r="P121" s="48" t="n">
        <f aca="false">P14+P31+P48+P65+P82+P99</f>
        <v>542514.631406183</v>
      </c>
      <c r="Q121" s="48" t="n">
        <f aca="false">Q14+Q31+Q48+Q65+Q82+Q99</f>
        <v>542699.974734876</v>
      </c>
      <c r="R121" s="48" t="n">
        <f aca="false">R14+R31+R48+R65+R82+R99</f>
        <v>542888.796821643</v>
      </c>
      <c r="S121" s="48" t="n">
        <f aca="false">S14+S31+S48+S65+S82+S99</f>
        <v>543081.162960218</v>
      </c>
      <c r="T121" s="48" t="n">
        <f aca="false">T14+T31+T48+T65+T82+T99</f>
        <v>543277.139669848</v>
      </c>
      <c r="U121" s="48" t="n">
        <f aca="false">U14+U31+U48+U65+U82+U99</f>
        <v>543476.794718299</v>
      </c>
      <c r="V121" s="48" t="n">
        <f aca="false">V14+V31+V48+V65+V82+V99</f>
        <v>543680.197145287</v>
      </c>
      <c r="W121" s="48" t="n">
        <f aca="false">W14+W31+W48+W65+W82+W99</f>
        <v>543887.417286354</v>
      </c>
      <c r="X121" s="48" t="n">
        <f aca="false">X14+X31+X48+X65+X82+X99</f>
        <v>544098.526797187</v>
      </c>
      <c r="Y121" s="48" t="n">
        <f aca="false">Y14+Y31+Y48+Y65+Y82+Y99</f>
        <v>544313.598678398</v>
      </c>
      <c r="Z121" s="48" t="n">
        <f aca="false">Z14+Z31+Z48+Z65+Z82+Z99</f>
        <v>544532.707300768</v>
      </c>
    </row>
    <row r="122" customFormat="false" ht="15" hidden="false" customHeight="false" outlineLevel="0" collapsed="false">
      <c r="B122" s="23" t="s">
        <v>227</v>
      </c>
      <c r="C122" s="48" t="n">
        <f aca="false">C20+C37+C54+C71+C88+C105</f>
        <v>2743.42451496653</v>
      </c>
      <c r="D122" s="48" t="n">
        <f aca="false">D20+D37+D54+D71+D88+D105</f>
        <v>5337.5742308245</v>
      </c>
      <c r="E122" s="48" t="n">
        <f aca="false">E20+E37+E54+E71+E88+E105</f>
        <v>7778.24648015328</v>
      </c>
      <c r="F122" s="48" t="n">
        <f aca="false">F20+F37+F54+F71+F88+F105</f>
        <v>7545.85006567014</v>
      </c>
      <c r="G122" s="48" t="n">
        <f aca="false">G20+G37+G54+G71+G88+G105</f>
        <v>7309.09174127028</v>
      </c>
      <c r="H122" s="48" t="n">
        <f aca="false">H20+H37+H54+H71+H88+H105</f>
        <v>7067.88963711003</v>
      </c>
      <c r="I122" s="48" t="n">
        <f aca="false">I20+I37+I54+I71+I88+I105</f>
        <v>6822.16034670893</v>
      </c>
      <c r="J122" s="48" t="n">
        <f aca="false">J20+J37+J54+J71+J88+J105</f>
        <v>6571.81889810817</v>
      </c>
      <c r="K122" s="48" t="n">
        <f aca="false">K20+K37+K54+K71+K88+K105</f>
        <v>6316.77872448773</v>
      </c>
      <c r="L122" s="48" t="n">
        <f aca="false">L20+L37+L54+L71+L88+L105</f>
        <v>6056.95163423197</v>
      </c>
      <c r="M122" s="48" t="n">
        <f aca="false">M20+M37+M54+M71+M88+M105</f>
        <v>5792.24778043344</v>
      </c>
      <c r="N122" s="48" t="n">
        <f aca="false">N20+N37+N54+N71+N88+N105</f>
        <v>5522.57562982429</v>
      </c>
      <c r="O122" s="48" t="n">
        <f aca="false">O20+O37+O54+O71+O88+O105</f>
        <v>5247.84193112447</v>
      </c>
      <c r="P122" s="48" t="n">
        <f aca="false">P20+P37+P54+P71+P88+P105</f>
        <v>4967.95168279594</v>
      </c>
      <c r="Q122" s="48" t="n">
        <f aca="false">Q20+Q37+Q54+Q71+Q88+Q105</f>
        <v>4682.80810019161</v>
      </c>
      <c r="R122" s="48" t="n">
        <f aca="false">R20+R37+R54+R71+R88+R105</f>
        <v>4392.31258208768</v>
      </c>
      <c r="S122" s="48" t="n">
        <f aca="false">S20+S37+S54+S71+S88+S105</f>
        <v>4096.36467658785</v>
      </c>
      <c r="T122" s="48" t="n">
        <f aca="false">T20+T37+T54+T71+T88+T105</f>
        <v>3794.86204638753</v>
      </c>
      <c r="U122" s="48" t="n">
        <f aca="false">U20+U37+U54+U71+U88+U105</f>
        <v>3487.70043338616</v>
      </c>
      <c r="V122" s="48" t="n">
        <f aca="false">V20+V37+V54+V71+V88+V105</f>
        <v>3174.77362263522</v>
      </c>
      <c r="W122" s="48" t="n">
        <f aca="false">W20+W37+W54+W71+W88+W105</f>
        <v>2855.97340560966</v>
      </c>
      <c r="X122" s="48" t="n">
        <f aca="false">X20+X37+X54+X71+X88+X105</f>
        <v>2531.18954278996</v>
      </c>
      <c r="Y122" s="48" t="n">
        <f aca="false">Y20+Y37+Y54+Y71+Y88+Y105</f>
        <v>2200.3097255418</v>
      </c>
      <c r="Z122" s="48" t="n">
        <f aca="false">Z20+Z37+Z54+Z71+Z88+Z105</f>
        <v>1863.21953728037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8"/>
    <col collapsed="false" customWidth="true" hidden="false" outlineLevel="0" max="3" min="3" style="0" width="6"/>
    <col collapsed="false" customWidth="true" hidden="false" outlineLevel="0" max="6" min="4" style="0" width="12"/>
    <col collapsed="false" customWidth="true" hidden="false" outlineLevel="0" max="7" min="7" style="0" width="11"/>
    <col collapsed="false" customWidth="true" hidden="false" outlineLevel="0" max="8" min="8" style="0" width="10"/>
    <col collapsed="false" customWidth="true" hidden="false" outlineLevel="0" max="9" min="9" style="0" width="12"/>
    <col collapsed="false" customWidth="true" hidden="false" outlineLevel="0" max="13" min="10" style="0" width="13"/>
    <col collapsed="false" customWidth="true" hidden="false" outlineLevel="0" max="16" min="14" style="0" width="11"/>
    <col collapsed="false" customWidth="true" hidden="false" outlineLevel="0" max="18" min="17" style="0" width="13"/>
    <col collapsed="false" customWidth="true" hidden="false" outlineLevel="0" max="20" min="19" style="0" width="12"/>
    <col collapsed="false" customWidth="true" hidden="false" outlineLevel="0" max="22" min="21" style="0" width="11"/>
  </cols>
  <sheetData>
    <row r="1" customFormat="false" ht="17.35" hidden="false" customHeight="false" outlineLevel="0" collapsed="false">
      <c r="A1" s="5" t="s">
        <v>233</v>
      </c>
    </row>
    <row r="2" customFormat="false" ht="15" hidden="false" customHeight="false" outlineLevel="0" collapsed="false">
      <c r="A2" s="6" t="str">
        <f aca="false">"Scenario: "&amp;Assumptions!$B$4&amp;"   |   Allocation basis: "&amp;Assumptions!$B$10</f>
        <v>Scenario: Base   |   Allocation basis: Tasks completed</v>
      </c>
    </row>
    <row r="4" customFormat="false" ht="54" hidden="false" customHeight="true" outlineLevel="0" collapsed="false">
      <c r="A4" s="7" t="s">
        <v>146</v>
      </c>
      <c r="B4" s="7" t="s">
        <v>147</v>
      </c>
      <c r="C4" s="7" t="s">
        <v>234</v>
      </c>
      <c r="D4" s="7" t="s">
        <v>88</v>
      </c>
      <c r="E4" s="7" t="s">
        <v>224</v>
      </c>
      <c r="F4" s="7" t="s">
        <v>225</v>
      </c>
      <c r="G4" s="7" t="s">
        <v>226</v>
      </c>
      <c r="H4" s="7" t="s">
        <v>235</v>
      </c>
      <c r="I4" s="7" t="s">
        <v>236</v>
      </c>
      <c r="J4" s="7" t="s">
        <v>55</v>
      </c>
      <c r="K4" s="7" t="s">
        <v>34</v>
      </c>
      <c r="L4" s="7" t="inlineStr">
        <is>
          <t>Planned benefit ($)</t>
        </is>
      </c>
      <c r="M4" s="7" t="s">
        <v>237</v>
      </c>
      <c r="N4" s="7" t="s">
        <v>238</v>
      </c>
      <c r="O4" s="7" t="s">
        <v>239</v>
      </c>
      <c r="P4" s="7" t="inlineStr">
        <is>
          <t>Planned benefit per useful task ($)</t>
        </is>
      </c>
      <c r="Q4" s="7" t="s">
        <v>241</v>
      </c>
      <c r="R4" s="7" t="s">
        <v>58</v>
      </c>
      <c r="S4" s="7" t="s">
        <v>242</v>
      </c>
      <c r="T4" s="7" t="s">
        <v>243</v>
      </c>
      <c r="U4" s="7" t="s">
        <v>244</v>
      </c>
      <c r="V4" s="7" t="s">
        <v>245</v>
      </c>
    </row>
    <row r="5" customFormat="false" ht="15" hidden="false" customHeight="false" outlineLevel="0" collapsed="false">
      <c r="A5" s="51" t="str">
        <f aca="false">Workflows!A5</f>
        <v>Claim case summary</v>
      </c>
      <c r="B5" s="51" t="str">
        <f aca="false">Workflows!B5</f>
        <v>Claims examiner</v>
      </c>
      <c r="C5" s="34" t="s">
        <v>246</v>
      </c>
      <c r="D5" s="24" t="n">
        <f aca="false">SUM(Forecast!$C$13:$N$13)</f>
        <v>670320</v>
      </c>
      <c r="E5" s="24" t="n">
        <f aca="false">SUM(Forecast!$C$14:$N$14)</f>
        <v>569772</v>
      </c>
      <c r="F5" s="46" t="n">
        <f aca="false">SUM(Forecast!$C$15:$N$15)</f>
        <v>62318.9592130444</v>
      </c>
      <c r="G5" s="46" t="n">
        <f aca="false">SUM(Forecast!$C$19:$N$19)</f>
        <v>0</v>
      </c>
      <c r="H5" s="36" t="n">
        <f aca="false">IF(Assumptions!$B$10="Equal",1/6,IF(Assumptions!$B$10="Token cost",IF(SUM(Forecast!$C$111:$N$111)=0,1/6,F5/SUM(Forecast!$C$111:$N$111)),IF(SUM(Forecast!$C$120:$N$120)=0,1/6,D5/SUM(Forecast!$C$120:$N$120))))</f>
        <v>0.105980663276276</v>
      </c>
      <c r="I5" s="46" t="n">
        <f aca="false">H5*SUM(Forecast!$C$113:$N$113)</f>
        <v>144981.547361946</v>
      </c>
      <c r="J5" s="46" t="n">
        <f aca="false">F5+G5+I5</f>
        <v>207300.506574991</v>
      </c>
      <c r="K5" s="46" t="n">
        <f aca="false">SUM(Forecast!$C$17:$N$17)</f>
        <v>2977338</v>
      </c>
      <c r="L5" s="46" t="n">
        <f aca="false">SUM(Forecast!$C$18:$N$18)</f>
        <v>1331967</v>
      </c>
      <c r="M5" s="46" t="n">
        <f aca="false">L5-J5</f>
        <v>1124666.49342501</v>
      </c>
      <c r="N5" s="35" t="n">
        <f aca="false">IF(J5=0,"N/A",L5/J5)</f>
        <v>6.42529544190074</v>
      </c>
      <c r="O5" s="53" t="n">
        <f aca="false">IF(E5=0,"N/A",J5/E5)</f>
        <v>0.363830631506972</v>
      </c>
      <c r="P5" s="53" t="n">
        <f aca="false">IF(E5=0,"N/A",L5/E5)</f>
        <v>2.33771929824561</v>
      </c>
      <c r="Q5" s="46" t="n">
        <f aca="false">F5+G5+I5*'Fixed costs'!$E$13</f>
        <v>88517.37917494</v>
      </c>
      <c r="R5" s="46" t="n">
        <f aca="false">Q5-L5</f>
        <v>-1243449.62082506</v>
      </c>
      <c r="S5" s="46" t="n">
        <f aca="false">SUM(Forecast!$C$21:$N$21)</f>
        <v>0</v>
      </c>
      <c r="T5" s="46" t="n">
        <f aca="false">SUM(Forecast!$C$22:$N$22)</f>
        <v>0</v>
      </c>
      <c r="U5" s="35" t="str">
        <f aca="false">IF(S5=0,"No cap binding",T5/S5)</f>
        <v>No cap binding</v>
      </c>
      <c r="V5" s="23" t="str">
        <f aca="false">IF(ISNUMBER(N5),IF(N5&gt;=Assumptions!$B$7,"Scale",IF(N5&lt;Assumptions!$B$8,"Stop","Fix")),"N/A")</f>
        <v>Scale</v>
      </c>
    </row>
    <row r="6" customFormat="false" ht="15" hidden="false" customHeight="false" outlineLevel="0" collapsed="false">
      <c r="A6" s="51" t="str">
        <f aca="false">Workflows!A6</f>
        <v>Finance reconciliation</v>
      </c>
      <c r="B6" s="51" t="str">
        <f aca="false">Workflows!B6</f>
        <v>Finance analyst</v>
      </c>
      <c r="C6" s="34" t="s">
        <v>246</v>
      </c>
      <c r="D6" s="24" t="n">
        <f aca="false">SUM(Forecast!$C$30:$N$30)</f>
        <v>71820</v>
      </c>
      <c r="E6" s="24" t="n">
        <f aca="false">SUM(Forecast!$C$31:$N$31)</f>
        <v>53865</v>
      </c>
      <c r="F6" s="46" t="n">
        <f aca="false">SUM(Forecast!$C$32:$N$32)</f>
        <v>17049.5265771537</v>
      </c>
      <c r="G6" s="46" t="n">
        <f aca="false">SUM(Forecast!$C$36:$N$36)</f>
        <v>0</v>
      </c>
      <c r="H6" s="36" t="n">
        <f aca="false">IF(Assumptions!$B$10="Equal",1/6,IF(Assumptions!$B$10="Token cost",IF(SUM(Forecast!$C$111:$N$111)=0,1/6,F6/SUM(Forecast!$C$111:$N$111)),IF(SUM(Forecast!$C$120:$N$120)=0,1/6,D6/SUM(Forecast!$C$120:$N$120))))</f>
        <v>0.0113550710653153</v>
      </c>
      <c r="I6" s="46" t="n">
        <f aca="false">H6*SUM(Forecast!$C$113:$N$113)</f>
        <v>15533.7372173514</v>
      </c>
      <c r="J6" s="46" t="n">
        <f aca="false">F6+G6+I6</f>
        <v>32583.263794505</v>
      </c>
      <c r="K6" s="46" t="n">
        <f aca="false">SUM(Forecast!$C$34:$N$34)</f>
        <v>839396.25</v>
      </c>
      <c r="L6" s="46" t="n">
        <f aca="false">SUM(Forecast!$C$35:$N$35)</f>
        <v>300415.5</v>
      </c>
      <c r="M6" s="46" t="n">
        <f aca="false">L6-J6</f>
        <v>267832.236205495</v>
      </c>
      <c r="N6" s="35" t="n">
        <f aca="false">IF(J6=0,"N/A",L6/J6)</f>
        <v>9.21993272051105</v>
      </c>
      <c r="O6" s="53" t="n">
        <f aca="false">IF(E6=0,"N/A",J6/E6)</f>
        <v>0.60490603906999</v>
      </c>
      <c r="P6" s="53" t="n">
        <f aca="false">IF(E6=0,"N/A",L6/E6)</f>
        <v>5.57719298245614</v>
      </c>
      <c r="Q6" s="46" t="n">
        <f aca="false">F6+G6+I6*'Fixed costs'!$E$13</f>
        <v>19856.5001444996</v>
      </c>
      <c r="R6" s="46" t="n">
        <f aca="false">Q6-L6</f>
        <v>-280558.9998555</v>
      </c>
      <c r="S6" s="46" t="n">
        <f aca="false">SUM(Forecast!$C$38:$N$38)</f>
        <v>0</v>
      </c>
      <c r="T6" s="46" t="n">
        <f aca="false">SUM(Forecast!$C$39:$N$39)</f>
        <v>0</v>
      </c>
      <c r="U6" s="35" t="str">
        <f aca="false">IF(S6=0,"No cap binding",T6/S6)</f>
        <v>No cap binding</v>
      </c>
      <c r="V6" s="23" t="str">
        <f aca="false">IF(ISNUMBER(N6),IF(N6&gt;=Assumptions!$B$7,"Scale",IF(N6&lt;Assumptions!$B$8,"Stop","Fix")),"N/A")</f>
        <v>Scale</v>
      </c>
    </row>
    <row r="7" customFormat="false" ht="15" hidden="false" customHeight="false" outlineLevel="0" collapsed="false">
      <c r="A7" s="51" t="str">
        <f aca="false">Workflows!A7</f>
        <v>Finance commentary draft</v>
      </c>
      <c r="B7" s="51" t="str">
        <f aca="false">Workflows!B7</f>
        <v>Finance analyst</v>
      </c>
      <c r="C7" s="34" t="s">
        <v>246</v>
      </c>
      <c r="D7" s="24" t="n">
        <f aca="false">SUM(Forecast!$C$47:$N$47)</f>
        <v>43092</v>
      </c>
      <c r="E7" s="24" t="n">
        <f aca="false">SUM(Forecast!$C$48:$N$48)</f>
        <v>34473.6</v>
      </c>
      <c r="F7" s="46" t="n">
        <f aca="false">SUM(Forecast!$C$49:$N$49)</f>
        <v>284.764506592711</v>
      </c>
      <c r="G7" s="46" t="n">
        <f aca="false">SUM(Forecast!$C$53:$N$53)</f>
        <v>0</v>
      </c>
      <c r="H7" s="36" t="n">
        <f aca="false">IF(Assumptions!$B$10="Equal",1/6,IF(Assumptions!$B$10="Token cost",IF(SUM(Forecast!$C$111:$N$111)=0,1/6,F7/SUM(Forecast!$C$111:$N$111)),IF(SUM(Forecast!$C$120:$N$120)=0,1/6,D7/SUM(Forecast!$C$120:$N$120))))</f>
        <v>0.0068130426391892</v>
      </c>
      <c r="I7" s="46" t="n">
        <f aca="false">H7*SUM(Forecast!$C$113:$N$113)</f>
        <v>9320.24233041082</v>
      </c>
      <c r="J7" s="46" t="n">
        <f aca="false">F7+G7+I7</f>
        <v>9605.00683700353</v>
      </c>
      <c r="K7" s="46" t="n">
        <f aca="false">SUM(Forecast!$C$51:$N$51)</f>
        <v>366282</v>
      </c>
      <c r="L7" s="46" t="n">
        <f aca="false">SUM(Forecast!$C$52:$N$52)</f>
        <v>98317.8</v>
      </c>
      <c r="M7" s="46" t="n">
        <f aca="false">L7-J7</f>
        <v>88712.7931629965</v>
      </c>
      <c r="N7" s="35" t="n">
        <f aca="false">IF(J7=0,"N/A",L7/J7)</f>
        <v>10.2360989084597</v>
      </c>
      <c r="O7" s="53" t="n">
        <f aca="false">IF(E7=0,"N/A",J7/E7)</f>
        <v>0.278619199532498</v>
      </c>
      <c r="P7" s="53" t="n">
        <f aca="false">IF(E7=0,"N/A",L7/E7)</f>
        <v>2.85197368421053</v>
      </c>
      <c r="Q7" s="46" t="n">
        <f aca="false">F7+G7+I7*'Fixed costs'!$E$13</f>
        <v>1968.94864700028</v>
      </c>
      <c r="R7" s="46" t="n">
        <f aca="false">Q7-L7</f>
        <v>-96348.8513529997</v>
      </c>
      <c r="S7" s="46" t="n">
        <f aca="false">SUM(Forecast!$C$55:$N$55)</f>
        <v>0</v>
      </c>
      <c r="T7" s="46" t="n">
        <f aca="false">SUM(Forecast!$C$56:$N$56)</f>
        <v>0</v>
      </c>
      <c r="U7" s="35" t="str">
        <f aca="false">IF(S7=0,"No cap binding",T7/S7)</f>
        <v>No cap binding</v>
      </c>
      <c r="V7" s="23" t="str">
        <f aca="false">IF(ISNUMBER(N7),IF(N7&gt;=Assumptions!$B$7,"Scale",IF(N7&lt;Assumptions!$B$8,"Stop","Fix")),"N/A")</f>
        <v>Scale</v>
      </c>
    </row>
    <row r="8" customFormat="false" ht="15" hidden="false" customHeight="false" outlineLevel="0" collapsed="false">
      <c r="A8" s="51" t="str">
        <f aca="false">Workflows!A8</f>
        <v>Code change agent</v>
      </c>
      <c r="B8" s="51" t="str">
        <f aca="false">Workflows!B8</f>
        <v>Software engineer</v>
      </c>
      <c r="C8" s="34" t="s">
        <v>246</v>
      </c>
      <c r="D8" s="24" t="n">
        <f aca="false">SUM(Forecast!$C$64:$N$64)</f>
        <v>146895.390316211</v>
      </c>
      <c r="E8" s="24" t="n">
        <f aca="false">SUM(Forecast!$C$65:$N$65)</f>
        <v>95482.003705537</v>
      </c>
      <c r="F8" s="46" t="n">
        <f aca="false">SUM(Forecast!$C$66:$N$66)</f>
        <v>1056000</v>
      </c>
      <c r="G8" s="46" t="n">
        <f aca="false">SUM(Forecast!$C$70:$N$70)</f>
        <v>0</v>
      </c>
      <c r="H8" s="36" t="n">
        <f aca="false">IF(Assumptions!$B$10="Equal",1/6,IF(Assumptions!$B$10="Token cost",IF(SUM(Forecast!$C$111:$N$111)=0,1/6,F8/SUM(Forecast!$C$111:$N$111)),IF(SUM(Forecast!$C$120:$N$120)=0,1/6,D8/SUM(Forecast!$C$120:$N$120))))</f>
        <v>0.0232248342551908</v>
      </c>
      <c r="I8" s="46" t="n">
        <f aca="false">H8*SUM(Forecast!$C$113:$N$113)</f>
        <v>31771.5732611011</v>
      </c>
      <c r="J8" s="46" t="n">
        <f aca="false">F8+G8+I8</f>
        <v>1087771.5732611</v>
      </c>
      <c r="K8" s="46" t="n">
        <f aca="false">SUM(Forecast!$C$68:$N$68)</f>
        <v>3635660.91032622</v>
      </c>
      <c r="L8" s="46" t="n">
        <f aca="false">SUM(Forecast!$C$69:$N$69)</f>
        <v>1668352.81464227</v>
      </c>
      <c r="M8" s="46" t="n">
        <f aca="false">L8-J8</f>
        <v>580581.241381171</v>
      </c>
      <c r="N8" s="35" t="n">
        <f aca="false">IF(J8=0,"N/A",L8/J8)</f>
        <v>1.53373452262648</v>
      </c>
      <c r="O8" s="53" t="n">
        <f aca="false">IF(E8=0,"N/A",J8/E8)</f>
        <v>11.3924250753655</v>
      </c>
      <c r="P8" s="53" t="n">
        <f aca="false">IF(E8=0,"N/A",L8/E8)</f>
        <v>17.4729556345237</v>
      </c>
      <c r="Q8" s="46" t="n">
        <f aca="false">F8+G8+I8*'Fixed costs'!$E$13</f>
        <v>1061741.17902788</v>
      </c>
      <c r="R8" s="46" t="n">
        <f aca="false">Q8-L8</f>
        <v>-606611.635614388</v>
      </c>
      <c r="S8" s="46" t="n">
        <f aca="false">SUM(Forecast!$C$72:$N$72)</f>
        <v>543889.83829478</v>
      </c>
      <c r="T8" s="46" t="n">
        <f aca="false">SUM(Forecast!$C$73:$N$73)</f>
        <v>826447.185357729</v>
      </c>
      <c r="U8" s="35" t="n">
        <f aca="false">IF(S8=0,"No cap binding",T8/S8)</f>
        <v>1.51951209081021</v>
      </c>
      <c r="V8" s="23" t="str">
        <f aca="false">IF(ISNUMBER(N8),IF(N8&gt;=Assumptions!$B$7,"Scale",IF(N8&lt;Assumptions!$B$8,"Stop","Fix")),"N/A")</f>
        <v>Fix</v>
      </c>
    </row>
    <row r="9" customFormat="false" ht="15" hidden="false" customHeight="false" outlineLevel="0" collapsed="false">
      <c r="A9" s="51" t="str">
        <f aca="false">Workflows!A9</f>
        <v>Call summary (batch)</v>
      </c>
      <c r="B9" s="51" t="str">
        <f aca="false">Workflows!B9</f>
        <v>Contact center agent</v>
      </c>
      <c r="C9" s="34" t="s">
        <v>246</v>
      </c>
      <c r="D9" s="24" t="n">
        <f aca="false">SUM(Forecast!$C$81:$N$81)</f>
        <v>4762800</v>
      </c>
      <c r="E9" s="24" t="n">
        <f aca="false">SUM(Forecast!$C$82:$N$82)</f>
        <v>4286520</v>
      </c>
      <c r="F9" s="46" t="n">
        <f aca="false">SUM(Forecast!$C$83:$N$83)</f>
        <v>3013.65615185252</v>
      </c>
      <c r="G9" s="46" t="n">
        <f aca="false">SUM(Forecast!$C$87:$N$87)</f>
        <v>0</v>
      </c>
      <c r="H9" s="36" t="n">
        <f aca="false">IF(Assumptions!$B$10="Equal",1/6,IF(Assumptions!$B$10="Token cost",IF(SUM(Forecast!$C$111:$N$111)=0,1/6,F9/SUM(Forecast!$C$111:$N$111)),IF(SUM(Forecast!$C$120:$N$120)=0,1/6,D9/SUM(Forecast!$C$120:$N$120))))</f>
        <v>0.753020502226174</v>
      </c>
      <c r="I9" s="46" t="n">
        <f aca="false">H9*SUM(Forecast!$C$113:$N$113)</f>
        <v>1030132.04704541</v>
      </c>
      <c r="J9" s="46" t="n">
        <f aca="false">F9+G9+I9</f>
        <v>1033145.70319726</v>
      </c>
      <c r="K9" s="46" t="n">
        <f aca="false">SUM(Forecast!$C$85:$N$85)</f>
        <v>4822335</v>
      </c>
      <c r="L9" s="46" t="n">
        <f aca="false">SUM(Forecast!$C$86:$N$86)</f>
        <v>964467</v>
      </c>
      <c r="M9" s="46" t="n">
        <f aca="false">L9-J9</f>
        <v>-68678.7031972592</v>
      </c>
      <c r="N9" s="35" t="n">
        <f aca="false">IF(J9=0,"N/A",L9/J9)</f>
        <v>0.933524668413448</v>
      </c>
      <c r="O9" s="53" t="n">
        <f aca="false">IF(E9=0,"N/A",J9/E9)</f>
        <v>0.241022018606529</v>
      </c>
      <c r="P9" s="53" t="n">
        <f aca="false">IF(E9=0,"N/A",L9/E9)</f>
        <v>0.225</v>
      </c>
      <c r="Q9" s="46" t="n">
        <f aca="false">F9+G9+I9*'Fixed costs'!$E$13</f>
        <v>189160.324302163</v>
      </c>
      <c r="R9" s="46" t="n">
        <f aca="false">Q9-L9</f>
        <v>-775306.675697837</v>
      </c>
      <c r="S9" s="46" t="n">
        <f aca="false">SUM(Forecast!$C$89:$N$89)</f>
        <v>0</v>
      </c>
      <c r="T9" s="46" t="n">
        <f aca="false">SUM(Forecast!$C$90:$N$90)</f>
        <v>0</v>
      </c>
      <c r="U9" s="35" t="str">
        <f aca="false">IF(S9=0,"No cap binding",T9/S9)</f>
        <v>No cap binding</v>
      </c>
      <c r="V9" s="23" t="str">
        <f aca="false">IF(ISNUMBER(N9),IF(N9&gt;=Assumptions!$B$7,"Scale",IF(N9&lt;Assumptions!$B$8,"Stop","Fix")),"N/A")</f>
        <v>Stop</v>
      </c>
    </row>
    <row r="10" customFormat="false" ht="15" hidden="false" customHeight="false" outlineLevel="0" collapsed="false">
      <c r="A10" s="51" t="str">
        <f aca="false">Workflows!A10</f>
        <v>Document questions</v>
      </c>
      <c r="B10" s="51" t="str">
        <f aca="false">Workflows!B10</f>
        <v>General staff</v>
      </c>
      <c r="C10" s="34" t="s">
        <v>246</v>
      </c>
      <c r="D10" s="24" t="n">
        <f aca="false">SUM(Forecast!$C$98:$N$98)</f>
        <v>630000</v>
      </c>
      <c r="E10" s="24" t="n">
        <f aca="false">SUM(Forecast!$C$99:$N$99)</f>
        <v>441000</v>
      </c>
      <c r="F10" s="46" t="n">
        <f aca="false">SUM(Forecast!$C$100:$N$100)</f>
        <v>10940.6656408329</v>
      </c>
      <c r="G10" s="46" t="n">
        <f aca="false">SUM(Forecast!$C$104:$N$104)</f>
        <v>0</v>
      </c>
      <c r="H10" s="36" t="n">
        <f aca="false">IF(Assumptions!$B$10="Equal",1/6,IF(Assumptions!$B$10="Token cost",IF(SUM(Forecast!$C$111:$N$111)=0,1/6,F10/SUM(Forecast!$C$111:$N$111)),IF(SUM(Forecast!$C$120:$N$120)=0,1/6,D10/SUM(Forecast!$C$120:$N$120))))</f>
        <v>0.0996058865378538</v>
      </c>
      <c r="I10" s="46" t="n">
        <f aca="false">H10*SUM(Forecast!$C$113:$N$113)</f>
        <v>136260.852783784</v>
      </c>
      <c r="J10" s="46" t="n">
        <f aca="false">F10+G10+I10</f>
        <v>147201.518424617</v>
      </c>
      <c r="K10" s="46" t="n">
        <f aca="false">SUM(Forecast!$C$102:$N$102)</f>
        <v>2173500</v>
      </c>
      <c r="L10" s="46" t="n">
        <f aca="false">SUM(Forecast!$C$103:$N$103)</f>
        <v>344137.5</v>
      </c>
      <c r="M10" s="46" t="n">
        <f aca="false">L10-J10</f>
        <v>196935.981575383</v>
      </c>
      <c r="N10" s="35" t="n">
        <f aca="false">IF(J10=0,"N/A",L10/J10)</f>
        <v>2.33786650900776</v>
      </c>
      <c r="O10" s="53" t="n">
        <f aca="false">IF(E10=0,"N/A",J10/E10)</f>
        <v>0.333790291212283</v>
      </c>
      <c r="P10" s="53" t="n">
        <f aca="false">IF(E10=0,"N/A",L10/E10)</f>
        <v>0.780357142857143</v>
      </c>
      <c r="Q10" s="46" t="n">
        <f aca="false">F10+G10+I10*'Fixed costs'!$E$13</f>
        <v>35563.2407929904</v>
      </c>
      <c r="R10" s="46" t="n">
        <f aca="false">Q10-L10</f>
        <v>-308574.25920701</v>
      </c>
      <c r="S10" s="46" t="n">
        <f aca="false">SUM(Forecast!$C$106:$N$106)</f>
        <v>0</v>
      </c>
      <c r="T10" s="46" t="n">
        <f aca="false">SUM(Forecast!$C$107:$N$107)</f>
        <v>0</v>
      </c>
      <c r="U10" s="35" t="str">
        <f aca="false">IF(S10=0,"No cap binding",T10/S10)</f>
        <v>No cap binding</v>
      </c>
      <c r="V10" s="23" t="str">
        <f aca="false">IF(ISNUMBER(N10),IF(N10&gt;=Assumptions!$B$7,"Scale",IF(N10&lt;Assumptions!$B$8,"Stop","Fix")),"N/A")</f>
        <v>Scale</v>
      </c>
    </row>
    <row r="11" customFormat="false" ht="15" hidden="false" customHeight="false" outlineLevel="0" collapsed="false">
      <c r="A11" s="54" t="s">
        <v>247</v>
      </c>
      <c r="B11" s="55"/>
      <c r="C11" s="54" t="s">
        <v>246</v>
      </c>
      <c r="D11" s="56" t="n">
        <f aca="false">SUM(Forecast!$C$120:$N$120)</f>
        <v>6324927.39031621</v>
      </c>
      <c r="E11" s="56" t="n">
        <f aca="false">SUM(Forecast!$C$121:$N$121)</f>
        <v>5481112.60370554</v>
      </c>
      <c r="F11" s="57" t="n">
        <f aca="false">SUM(Forecast!$C$111:$N$111)</f>
        <v>1149607.57208948</v>
      </c>
      <c r="G11" s="57" t="n">
        <f aca="false">SUM(Forecast!$C$112:$N$112)</f>
        <v>0</v>
      </c>
      <c r="H11" s="58" t="n">
        <f aca="false">SUM(H5:H10)</f>
        <v>1</v>
      </c>
      <c r="I11" s="57" t="n">
        <f aca="false">SUM(Forecast!$C$113:$N$113)</f>
        <v>1368000</v>
      </c>
      <c r="J11" s="57" t="n">
        <f aca="false">SUM(Forecast!$C$114:$N$114)</f>
        <v>2517607.57208948</v>
      </c>
      <c r="K11" s="57" t="n">
        <f aca="false">SUM(Forecast!$C$116:$N$116)</f>
        <v>14814512.1603262</v>
      </c>
      <c r="L11" s="57" t="n">
        <f aca="false">SUM(Forecast!$C$117:$N$117)</f>
        <v>4707657.61464227</v>
      </c>
      <c r="M11" s="57" t="n">
        <f aca="false">L11-J11</f>
        <v>2190050.0425528</v>
      </c>
      <c r="N11" s="59" t="n">
        <f aca="false">IF(J11=0,"N/A",L11/J11)</f>
        <v>1.86989333319139</v>
      </c>
      <c r="O11" s="60" t="n">
        <f aca="false">IF(E11=0,"N/A",J11/E11)</f>
        <v>0.459324183631519</v>
      </c>
      <c r="P11" s="60" t="n">
        <f aca="false">IF(E11=0,"N/A",L11/E11)</f>
        <v>0.858887228746155</v>
      </c>
      <c r="Q11" s="55"/>
      <c r="R11" s="55"/>
      <c r="S11" s="55"/>
      <c r="T11" s="55"/>
      <c r="U11" s="55"/>
      <c r="V11" s="54" t="str">
        <f aca="false">IF(ISNUMBER(N11),IF(N11&gt;=Assumptions!$B$7,"Scale",IF(N11&lt;Assumptions!$B$8,"Stop","Fix")),"N/A")</f>
        <v>Fix</v>
      </c>
    </row>
    <row r="12" customFormat="false" ht="15" hidden="false" customHeight="false" outlineLevel="0" collapsed="false">
      <c r="A12" s="6" t="s">
        <v>248</v>
      </c>
      <c r="I12" s="46" t="n">
        <f aca="false">I11-SUM(I5:I10)</f>
        <v>0</v>
      </c>
    </row>
    <row r="14" customFormat="false" ht="15" hidden="false" customHeight="false" outlineLevel="0" collapsed="false">
      <c r="A14" s="51" t="str">
        <f aca="false">Workflows!A5</f>
        <v>Claim case summary</v>
      </c>
      <c r="B14" s="51" t="str">
        <f aca="false">Workflows!B5</f>
        <v>Claims examiner</v>
      </c>
      <c r="C14" s="34" t="s">
        <v>249</v>
      </c>
      <c r="D14" s="24" t="n">
        <f aca="false">SUM(Forecast!$O$13:$Z$13)</f>
        <v>846720</v>
      </c>
      <c r="E14" s="24" t="n">
        <f aca="false">SUM(Forecast!$O$14:$Z$14)</f>
        <v>719712</v>
      </c>
      <c r="F14" s="46" t="n">
        <f aca="false">SUM(Forecast!$O$15:$Z$15)</f>
        <v>64305.5089992025</v>
      </c>
      <c r="G14" s="46" t="n">
        <f aca="false">SUM(Forecast!$O$19:$Z$19)</f>
        <v>0</v>
      </c>
      <c r="H14" s="36" t="n">
        <f aca="false">IF(Assumptions!$B$10="Equal",1/6,IF(Assumptions!$B$10="Token cost",IF(SUM(Forecast!$O$111:$Z$111)=0,1/6,F14/SUM(Forecast!$O$111:$Z$111)),IF(SUM(Forecast!$O$120:$Z$120)=0,1/6,D14/SUM(Forecast!$O$120:$Z$120))))</f>
        <v>0.111723695291047</v>
      </c>
      <c r="I14" s="46" t="n">
        <f aca="false">H14*SUM(Forecast!$O$113:$Z$113)</f>
        <v>136749.803036242</v>
      </c>
      <c r="J14" s="46" t="n">
        <f aca="false">F14+G14+I14</f>
        <v>201055.312035444</v>
      </c>
      <c r="K14" s="46" t="n">
        <f aca="false">SUM(Forecast!$O$17:$Z$17)</f>
        <v>3760848</v>
      </c>
      <c r="L14" s="46" t="n">
        <f aca="false">SUM(Forecast!$O$18:$Z$18)</f>
        <v>1880424</v>
      </c>
      <c r="M14" s="46" t="n">
        <f aca="false">L14-J14</f>
        <v>1679368.68796456</v>
      </c>
      <c r="N14" s="35" t="n">
        <f aca="false">IF(J14=0,"N/A",L14/J14)</f>
        <v>9.35276954865285</v>
      </c>
      <c r="O14" s="53" t="n">
        <f aca="false">IF(E14=0,"N/A",J14/E14)</f>
        <v>0.279355231030529</v>
      </c>
      <c r="P14" s="53" t="n">
        <f aca="false">IF(E14=0,"N/A",L14/E14)</f>
        <v>2.61274509803922</v>
      </c>
      <c r="Q14" s="46" t="n">
        <f aca="false">F14+G14+I14*'Fixed costs'!$E$13</f>
        <v>89016.4383197866</v>
      </c>
      <c r="R14" s="46" t="n">
        <f aca="false">Q14-L14</f>
        <v>-1791407.56168021</v>
      </c>
      <c r="S14" s="46" t="n">
        <f aca="false">SUM(Forecast!$O$21:$Z$21)</f>
        <v>0</v>
      </c>
      <c r="T14" s="46" t="n">
        <f aca="false">SUM(Forecast!$O$22:$Z$22)</f>
        <v>0</v>
      </c>
      <c r="U14" s="35" t="str">
        <f aca="false">IF(S14=0,"No cap binding",T14/S14)</f>
        <v>No cap binding</v>
      </c>
      <c r="V14" s="23" t="str">
        <f aca="false">IF(ISNUMBER(N14),IF(N14&gt;=Assumptions!$B$7,"Scale",IF(N14&lt;Assumptions!$B$8,"Stop","Fix")),"N/A")</f>
        <v>Scale</v>
      </c>
    </row>
    <row r="15" customFormat="false" ht="15" hidden="false" customHeight="false" outlineLevel="0" collapsed="false">
      <c r="A15" s="51" t="str">
        <f aca="false">Workflows!A6</f>
        <v>Finance reconciliation</v>
      </c>
      <c r="B15" s="51" t="str">
        <f aca="false">Workflows!B6</f>
        <v>Finance analyst</v>
      </c>
      <c r="C15" s="34" t="s">
        <v>249</v>
      </c>
      <c r="D15" s="24" t="n">
        <f aca="false">SUM(Forecast!$O$30:$Z$30)</f>
        <v>90720</v>
      </c>
      <c r="E15" s="24" t="n">
        <f aca="false">SUM(Forecast!$O$31:$Z$31)</f>
        <v>68040</v>
      </c>
      <c r="F15" s="46" t="n">
        <f aca="false">SUM(Forecast!$O$32:$Z$32)</f>
        <v>17593.0166129894</v>
      </c>
      <c r="G15" s="46" t="n">
        <f aca="false">SUM(Forecast!$O$36:$Z$36)</f>
        <v>0</v>
      </c>
      <c r="H15" s="36" t="n">
        <f aca="false">IF(Assumptions!$B$10="Equal",1/6,IF(Assumptions!$B$10="Token cost",IF(SUM(Forecast!$O$111:$Z$111)=0,1/6,F15/SUM(Forecast!$O$111:$Z$111)),IF(SUM(Forecast!$O$120:$Z$120)=0,1/6,D15/SUM(Forecast!$O$120:$Z$120))))</f>
        <v>0.0119703959240408</v>
      </c>
      <c r="I15" s="46" t="n">
        <f aca="false">H15*SUM(Forecast!$O$113:$Z$113)</f>
        <v>14651.7646110259</v>
      </c>
      <c r="J15" s="46" t="n">
        <f aca="false">F15+G15+I15</f>
        <v>32244.7812240153</v>
      </c>
      <c r="K15" s="46" t="n">
        <f aca="false">SUM(Forecast!$O$34:$Z$34)</f>
        <v>1060290</v>
      </c>
      <c r="L15" s="46" t="n">
        <f aca="false">SUM(Forecast!$O$35:$Z$35)</f>
        <v>424116</v>
      </c>
      <c r="M15" s="46" t="n">
        <f aca="false">L15-J15</f>
        <v>391871.218775985</v>
      </c>
      <c r="N15" s="35" t="n">
        <f aca="false">IF(J15=0,"N/A",L15/J15)</f>
        <v>13.1530121743895</v>
      </c>
      <c r="O15" s="53" t="n">
        <f aca="false">IF(E15=0,"N/A",J15/E15)</f>
        <v>0.47390918906548</v>
      </c>
      <c r="P15" s="53" t="n">
        <f aca="false">IF(E15=0,"N/A",L15/E15)</f>
        <v>6.23333333333333</v>
      </c>
      <c r="Q15" s="46" t="n">
        <f aca="false">F15+G15+I15*'Fixed costs'!$E$13</f>
        <v>20240.6161830519</v>
      </c>
      <c r="R15" s="46" t="n">
        <f aca="false">Q15-L15</f>
        <v>-403875.383816948</v>
      </c>
      <c r="S15" s="46" t="n">
        <f aca="false">SUM(Forecast!$O$38:$Z$38)</f>
        <v>0</v>
      </c>
      <c r="T15" s="46" t="n">
        <f aca="false">SUM(Forecast!$O$39:$Z$39)</f>
        <v>0</v>
      </c>
      <c r="U15" s="35" t="str">
        <f aca="false">IF(S15=0,"No cap binding",T15/S15)</f>
        <v>No cap binding</v>
      </c>
      <c r="V15" s="23" t="str">
        <f aca="false">IF(ISNUMBER(N15),IF(N15&gt;=Assumptions!$B$7,"Scale",IF(N15&lt;Assumptions!$B$8,"Stop","Fix")),"N/A")</f>
        <v>Scale</v>
      </c>
    </row>
    <row r="16" customFormat="false" ht="15" hidden="false" customHeight="false" outlineLevel="0" collapsed="false">
      <c r="A16" s="51" t="str">
        <f aca="false">Workflows!A7</f>
        <v>Finance commentary draft</v>
      </c>
      <c r="B16" s="51" t="str">
        <f aca="false">Workflows!B7</f>
        <v>Finance analyst</v>
      </c>
      <c r="C16" s="34" t="s">
        <v>249</v>
      </c>
      <c r="D16" s="24" t="n">
        <f aca="false">SUM(Forecast!$O$47:$Z$47)</f>
        <v>54432</v>
      </c>
      <c r="E16" s="24" t="n">
        <f aca="false">SUM(Forecast!$O$48:$Z$48)</f>
        <v>43545.6</v>
      </c>
      <c r="F16" s="46" t="n">
        <f aca="false">SUM(Forecast!$O$49:$Z$49)</f>
        <v>293.841982802531</v>
      </c>
      <c r="G16" s="46" t="n">
        <f aca="false">SUM(Forecast!$O$53:$Z$53)</f>
        <v>0</v>
      </c>
      <c r="H16" s="36" t="n">
        <f aca="false">IF(Assumptions!$B$10="Equal",1/6,IF(Assumptions!$B$10="Token cost",IF(SUM(Forecast!$O$111:$Z$111)=0,1/6,F16/SUM(Forecast!$O$111:$Z$111)),IF(SUM(Forecast!$O$120:$Z$120)=0,1/6,D16/SUM(Forecast!$O$120:$Z$120))))</f>
        <v>0.00718223755442447</v>
      </c>
      <c r="I16" s="46" t="n">
        <f aca="false">H16*SUM(Forecast!$O$113:$Z$113)</f>
        <v>8791.05876661555</v>
      </c>
      <c r="J16" s="46" t="n">
        <f aca="false">F16+G16+I16</f>
        <v>9084.90074941808</v>
      </c>
      <c r="K16" s="46" t="n">
        <f aca="false">SUM(Forecast!$O$51:$Z$51)</f>
        <v>462672</v>
      </c>
      <c r="L16" s="46" t="n">
        <f aca="false">SUM(Forecast!$O$52:$Z$52)</f>
        <v>138801.6</v>
      </c>
      <c r="M16" s="46" t="n">
        <f aca="false">L16-J16</f>
        <v>129716.699250582</v>
      </c>
      <c r="N16" s="35" t="n">
        <f aca="false">IF(J16=0,"N/A",L16/J16)</f>
        <v>15.2782736794225</v>
      </c>
      <c r="O16" s="53" t="n">
        <f aca="false">IF(E16=0,"N/A",J16/E16)</f>
        <v>0.208629591724952</v>
      </c>
      <c r="P16" s="53" t="n">
        <f aca="false">IF(E16=0,"N/A",L16/E16)</f>
        <v>3.1875</v>
      </c>
      <c r="Q16" s="46" t="n">
        <f aca="false">F16+G16+I16*'Fixed costs'!$E$13</f>
        <v>1882.40172484008</v>
      </c>
      <c r="R16" s="46" t="n">
        <f aca="false">Q16-L16</f>
        <v>-136919.19827516</v>
      </c>
      <c r="S16" s="46" t="n">
        <f aca="false">SUM(Forecast!$O$55:$Z$55)</f>
        <v>0</v>
      </c>
      <c r="T16" s="46" t="n">
        <f aca="false">SUM(Forecast!$O$56:$Z$56)</f>
        <v>0</v>
      </c>
      <c r="U16" s="35" t="str">
        <f aca="false">IF(S16=0,"No cap binding",T16/S16)</f>
        <v>No cap binding</v>
      </c>
      <c r="V16" s="23" t="str">
        <f aca="false">IF(ISNUMBER(N16),IF(N16&gt;=Assumptions!$B$7,"Scale",IF(N16&lt;Assumptions!$B$8,"Stop","Fix")),"N/A")</f>
        <v>Scale</v>
      </c>
    </row>
    <row r="17" customFormat="false" ht="15" hidden="false" customHeight="false" outlineLevel="0" collapsed="false">
      <c r="A17" s="51" t="str">
        <f aca="false">Workflows!A8</f>
        <v>Code change agent</v>
      </c>
      <c r="B17" s="51" t="str">
        <f aca="false">Workflows!B8</f>
        <v>Software engineer</v>
      </c>
      <c r="C17" s="34" t="s">
        <v>249</v>
      </c>
      <c r="D17" s="24" t="n">
        <f aca="false">SUM(Forecast!$O$64:$Z$64)</f>
        <v>198624.692713582</v>
      </c>
      <c r="E17" s="24" t="n">
        <f aca="false">SUM(Forecast!$O$65:$Z$65)</f>
        <v>129106.050263828</v>
      </c>
      <c r="F17" s="46" t="n">
        <f aca="false">SUM(Forecast!$O$66:$Z$66)</f>
        <v>1152000</v>
      </c>
      <c r="G17" s="46" t="n">
        <f aca="false">SUM(Forecast!$O$70:$Z$70)</f>
        <v>0</v>
      </c>
      <c r="H17" s="36" t="n">
        <f aca="false">IF(Assumptions!$B$10="Equal",1/6,IF(Assumptions!$B$10="Token cost",IF(SUM(Forecast!$O$111:$Z$111)=0,1/6,F17/SUM(Forecast!$O$111:$Z$111)),IF(SUM(Forecast!$O$120:$Z$120)=0,1/6,D17/SUM(Forecast!$O$120:$Z$120))))</f>
        <v>0.0262082915792825</v>
      </c>
      <c r="I17" s="46" t="n">
        <f aca="false">H17*SUM(Forecast!$O$113:$Z$113)</f>
        <v>32078.9488930418</v>
      </c>
      <c r="J17" s="46" t="n">
        <f aca="false">F17+G17+I17</f>
        <v>1184078.94889304</v>
      </c>
      <c r="K17" s="46" t="n">
        <f aca="false">SUM(Forecast!$O$68:$Z$68)</f>
        <v>4915961.14466115</v>
      </c>
      <c r="L17" s="46" t="n">
        <f aca="false">SUM(Forecast!$O$69:$Z$69)</f>
        <v>2457980.57233057</v>
      </c>
      <c r="M17" s="46" t="n">
        <f aca="false">L17-J17</f>
        <v>1273901.62343753</v>
      </c>
      <c r="N17" s="35" t="n">
        <f aca="false">IF(J17=0,"N/A",L17/J17)</f>
        <v>2.07585868714959</v>
      </c>
      <c r="O17" s="53" t="n">
        <f aca="false">IF(E17=0,"N/A",J17/E17)</f>
        <v>9.17136684511204</v>
      </c>
      <c r="P17" s="53" t="n">
        <f aca="false">IF(E17=0,"N/A",L17/E17)</f>
        <v>19.0384615384615</v>
      </c>
      <c r="Q17" s="46" t="n">
        <f aca="false">F17+G17+I17*'Fixed costs'!$E$13</f>
        <v>1157796.72234383</v>
      </c>
      <c r="R17" s="46" t="n">
        <f aca="false">Q17-L17</f>
        <v>-1300183.84998674</v>
      </c>
      <c r="S17" s="46" t="n">
        <f aca="false">SUM(Forecast!$O$72:$Z$72)</f>
        <v>256898.878557019</v>
      </c>
      <c r="T17" s="46" t="n">
        <f aca="false">SUM(Forecast!$O$73:$Z$73)</f>
        <v>535779.427669426</v>
      </c>
      <c r="U17" s="35" t="n">
        <f aca="false">IF(S17=0,"No cap binding",T17/S17)</f>
        <v>2.08556545937008</v>
      </c>
      <c r="V17" s="23" t="str">
        <f aca="false">IF(ISNUMBER(N17),IF(N17&gt;=Assumptions!$B$7,"Scale",IF(N17&lt;Assumptions!$B$8,"Stop","Fix")),"N/A")</f>
        <v>Scale</v>
      </c>
    </row>
    <row r="18" customFormat="false" ht="15" hidden="false" customHeight="false" outlineLevel="0" collapsed="false">
      <c r="A18" s="51" t="str">
        <f aca="false">Workflows!A9</f>
        <v>Call summary (batch)</v>
      </c>
      <c r="B18" s="51" t="str">
        <f aca="false">Workflows!B9</f>
        <v>Contact center agent</v>
      </c>
      <c r="C18" s="34" t="s">
        <v>249</v>
      </c>
      <c r="D18" s="24" t="n">
        <f aca="false">SUM(Forecast!$O$81:$Z$81)</f>
        <v>5443200</v>
      </c>
      <c r="E18" s="24" t="n">
        <f aca="false">SUM(Forecast!$O$82:$Z$82)</f>
        <v>4898880</v>
      </c>
      <c r="F18" s="46" t="n">
        <f aca="false">SUM(Forecast!$O$83:$Z$83)</f>
        <v>2791.99519132472</v>
      </c>
      <c r="G18" s="46" t="n">
        <f aca="false">SUM(Forecast!$O$87:$Z$87)</f>
        <v>0</v>
      </c>
      <c r="H18" s="36" t="n">
        <f aca="false">IF(Assumptions!$B$10="Equal",1/6,IF(Assumptions!$B$10="Token cost",IF(SUM(Forecast!$O$111:$Z$111)=0,1/6,F18/SUM(Forecast!$O$111:$Z$111)),IF(SUM(Forecast!$O$120:$Z$120)=0,1/6,D18/SUM(Forecast!$O$120:$Z$120))))</f>
        <v>0.718223755442447</v>
      </c>
      <c r="I18" s="46" t="n">
        <f aca="false">H18*SUM(Forecast!$O$113:$Z$113)</f>
        <v>879105.876661555</v>
      </c>
      <c r="J18" s="46" t="n">
        <f aca="false">F18+G18+I18</f>
        <v>881897.87185288</v>
      </c>
      <c r="K18" s="46" t="n">
        <f aca="false">SUM(Forecast!$O$85:$Z$85)</f>
        <v>5511240</v>
      </c>
      <c r="L18" s="46" t="n">
        <f aca="false">SUM(Forecast!$O$86:$Z$86)</f>
        <v>1653372</v>
      </c>
      <c r="M18" s="46" t="n">
        <f aca="false">L18-J18</f>
        <v>771474.128147121</v>
      </c>
      <c r="N18" s="35" t="n">
        <f aca="false">IF(J18=0,"N/A",L18/J18)</f>
        <v>1.87478851323934</v>
      </c>
      <c r="O18" s="53" t="n">
        <f aca="false">IF(E18=0,"N/A",J18/E18)</f>
        <v>0.180020305019286</v>
      </c>
      <c r="P18" s="53" t="n">
        <f aca="false">IF(E18=0,"N/A",L18/E18)</f>
        <v>0.3375</v>
      </c>
      <c r="Q18" s="46" t="n">
        <f aca="false">F18+G18+I18*'Fixed costs'!$E$13</f>
        <v>161647.969395079</v>
      </c>
      <c r="R18" s="46" t="n">
        <f aca="false">Q18-L18</f>
        <v>-1491724.03060492</v>
      </c>
      <c r="S18" s="46" t="n">
        <f aca="false">SUM(Forecast!$O$89:$Z$89)</f>
        <v>0</v>
      </c>
      <c r="T18" s="46" t="n">
        <f aca="false">SUM(Forecast!$O$90:$Z$90)</f>
        <v>0</v>
      </c>
      <c r="U18" s="35" t="str">
        <f aca="false">IF(S18=0,"No cap binding",T18/S18)</f>
        <v>No cap binding</v>
      </c>
      <c r="V18" s="23" t="str">
        <f aca="false">IF(ISNUMBER(N18),IF(N18&gt;=Assumptions!$B$7,"Scale",IF(N18&lt;Assumptions!$B$8,"Stop","Fix")),"N/A")</f>
        <v>Fix</v>
      </c>
    </row>
    <row r="19" customFormat="false" ht="15" hidden="false" customHeight="false" outlineLevel="0" collapsed="false">
      <c r="A19" s="51" t="str">
        <f aca="false">Workflows!A10</f>
        <v>Document questions</v>
      </c>
      <c r="B19" s="51" t="str">
        <f aca="false">Workflows!B10</f>
        <v>General staff</v>
      </c>
      <c r="C19" s="34" t="s">
        <v>249</v>
      </c>
      <c r="D19" s="24" t="n">
        <f aca="false">SUM(Forecast!$O$98:$Z$98)</f>
        <v>945000</v>
      </c>
      <c r="E19" s="24" t="n">
        <f aca="false">SUM(Forecast!$O$99:$Z$99)</f>
        <v>661500</v>
      </c>
      <c r="F19" s="46" t="n">
        <f aca="false">SUM(Forecast!$O$100:$Z$100)</f>
        <v>13529.1125011723</v>
      </c>
      <c r="G19" s="46" t="n">
        <f aca="false">SUM(Forecast!$O$104:$Z$104)</f>
        <v>0</v>
      </c>
      <c r="H19" s="36" t="n">
        <f aca="false">IF(Assumptions!$B$10="Equal",1/6,IF(Assumptions!$B$10="Token cost",IF(SUM(Forecast!$O$111:$Z$111)=0,1/6,F19/SUM(Forecast!$O$111:$Z$111)),IF(SUM(Forecast!$O$120:$Z$120)=0,1/6,D19/SUM(Forecast!$O$120:$Z$120))))</f>
        <v>0.124691624208758</v>
      </c>
      <c r="I19" s="46" t="n">
        <f aca="false">H19*SUM(Forecast!$O$113:$Z$113)</f>
        <v>152622.54803152</v>
      </c>
      <c r="J19" s="46" t="n">
        <f aca="false">F19+G19+I19</f>
        <v>166151.660532692</v>
      </c>
      <c r="K19" s="46" t="n">
        <f aca="false">SUM(Forecast!$O$102:$Z$102)</f>
        <v>3260250</v>
      </c>
      <c r="L19" s="46" t="n">
        <f aca="false">SUM(Forecast!$O$103:$Z$103)</f>
        <v>652050</v>
      </c>
      <c r="M19" s="46" t="n">
        <f aca="false">L19-J19</f>
        <v>485898.339467308</v>
      </c>
      <c r="N19" s="35" t="n">
        <f aca="false">IF(J19=0,"N/A",L19/J19)</f>
        <v>3.92442662269813</v>
      </c>
      <c r="O19" s="53" t="n">
        <f aca="false">IF(E19=0,"N/A",J19/E19)</f>
        <v>0.251174089996511</v>
      </c>
      <c r="P19" s="53" t="n">
        <f aca="false">IF(E19=0,"N/A",L19/E19)</f>
        <v>0.985714285714286</v>
      </c>
      <c r="Q19" s="46" t="n">
        <f aca="false">F19+G19+I19*'Fixed costs'!$E$13</f>
        <v>41108.2746893241</v>
      </c>
      <c r="R19" s="46" t="n">
        <f aca="false">Q19-L19</f>
        <v>-610941.725310676</v>
      </c>
      <c r="S19" s="46" t="n">
        <f aca="false">SUM(Forecast!$O$106:$Z$106)</f>
        <v>0</v>
      </c>
      <c r="T19" s="46" t="n">
        <f aca="false">SUM(Forecast!$O$107:$Z$107)</f>
        <v>0</v>
      </c>
      <c r="U19" s="35" t="str">
        <f aca="false">IF(S19=0,"No cap binding",T19/S19)</f>
        <v>No cap binding</v>
      </c>
      <c r="V19" s="23" t="str">
        <f aca="false">IF(ISNUMBER(N19),IF(N19&gt;=Assumptions!$B$7,"Scale",IF(N19&lt;Assumptions!$B$8,"Stop","Fix")),"N/A")</f>
        <v>Scale</v>
      </c>
    </row>
    <row r="20" customFormat="false" ht="15" hidden="false" customHeight="false" outlineLevel="0" collapsed="false">
      <c r="A20" s="54" t="s">
        <v>250</v>
      </c>
      <c r="B20" s="55"/>
      <c r="C20" s="54" t="s">
        <v>249</v>
      </c>
      <c r="D20" s="56" t="n">
        <f aca="false">SUM(Forecast!$O$120:$Z$120)</f>
        <v>7578696.69271358</v>
      </c>
      <c r="E20" s="56" t="n">
        <f aca="false">SUM(Forecast!$O$121:$Z$121)</f>
        <v>6520783.65026383</v>
      </c>
      <c r="F20" s="57" t="n">
        <f aca="false">SUM(Forecast!$O$111:$Z$111)</f>
        <v>1250513.47528749</v>
      </c>
      <c r="G20" s="57" t="n">
        <f aca="false">SUM(Forecast!$O$112:$Z$112)</f>
        <v>0</v>
      </c>
      <c r="H20" s="58" t="n">
        <f aca="false">SUM(H14:H19)</f>
        <v>1</v>
      </c>
      <c r="I20" s="57" t="n">
        <f aca="false">SUM(Forecast!$O$113:$Z$113)</f>
        <v>1224000</v>
      </c>
      <c r="J20" s="57" t="n">
        <f aca="false">SUM(Forecast!$O$114:$Z$114)</f>
        <v>2474513.47528749</v>
      </c>
      <c r="K20" s="57" t="n">
        <f aca="false">SUM(Forecast!$O$116:$Z$116)</f>
        <v>18971261.1446611</v>
      </c>
      <c r="L20" s="57" t="n">
        <f aca="false">SUM(Forecast!$O$117:$Z$117)</f>
        <v>7206744.17233057</v>
      </c>
      <c r="M20" s="57" t="n">
        <f aca="false">L20-J20</f>
        <v>4732230.69704308</v>
      </c>
      <c r="N20" s="59" t="n">
        <f aca="false">IF(J20=0,"N/A",L20/J20)</f>
        <v>2.91238833180865</v>
      </c>
      <c r="O20" s="60" t="n">
        <f aca="false">IF(E20=0,"N/A",J20/E20)</f>
        <v>0.379480996151034</v>
      </c>
      <c r="P20" s="60" t="n">
        <f aca="false">IF(E20=0,"N/A",L20/E20)</f>
        <v>1.1051960253334</v>
      </c>
      <c r="Q20" s="55"/>
      <c r="R20" s="55"/>
      <c r="S20" s="55"/>
      <c r="T20" s="55"/>
      <c r="U20" s="55"/>
      <c r="V20" s="54" t="str">
        <f aca="false">IF(ISNUMBER(N20),IF(N20&gt;=Assumptions!$B$7,"Scale",IF(N20&lt;Assumptions!$B$8,"Stop","Fix")),"N/A")</f>
        <v>Scale</v>
      </c>
    </row>
    <row r="21" customFormat="false" ht="15" hidden="false" customHeight="false" outlineLevel="0" collapsed="false">
      <c r="A21" s="6" t="s">
        <v>248</v>
      </c>
      <c r="I21" s="46" t="n">
        <f aca="false">I20-SUM(I14:I19)</f>
        <v>0</v>
      </c>
    </row>
    <row r="23" customFormat="false" ht="15" hidden="false" customHeight="false" outlineLevel="0" collapsed="false">
      <c r="A23" s="6" t="inlineStr">
        <is>
          <t>Net change if stopped = avoidable cost saved minus planned benefit lost. Negative means stopping makes the portfolio worse, whatever the hurdle says.</t>
        </is>
      </c>
    </row>
    <row r="24" customFormat="false" ht="15" hidden="false" customHeight="false" outlineLevel="0" collapsed="false">
      <c r="A24" s="6" t="s">
        <v>252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4"/>
    <col collapsed="false" customWidth="true" hidden="false" outlineLevel="0" max="3" min="3" style="0" width="15"/>
    <col collapsed="false" customWidth="true" hidden="false" outlineLevel="0" max="5" min="4" style="0" width="14"/>
    <col collapsed="false" customWidth="true" hidden="false" outlineLevel="0" max="6" min="6" style="0" width="13"/>
    <col collapsed="false" customWidth="true" hidden="false" outlineLevel="0" max="8" min="7" style="0" width="14"/>
    <col collapsed="false" customWidth="true" hidden="false" outlineLevel="0" max="10" min="9" style="0" width="12"/>
    <col collapsed="false" customWidth="true" hidden="false" outlineLevel="0" max="11" min="11" style="0" width="13"/>
    <col collapsed="false" customWidth="true" hidden="false" outlineLevel="0" max="12" min="12" style="0" width="15"/>
  </cols>
  <sheetData>
    <row r="1" customFormat="false" ht="17.35" hidden="false" customHeight="false" outlineLevel="0" collapsed="false">
      <c r="A1" s="5" t="s">
        <v>253</v>
      </c>
    </row>
    <row r="2" customFormat="false" ht="15" hidden="false" customHeight="false" outlineLevel="0" collapsed="false">
      <c r="A2" s="6" t="s">
        <v>254</v>
      </c>
    </row>
    <row r="4" customFormat="false" ht="42" hidden="false" customHeight="true" outlineLevel="0" collapsed="false">
      <c r="A4" s="7" t="s">
        <v>68</v>
      </c>
      <c r="B4" s="7" t="s">
        <v>255</v>
      </c>
      <c r="C4" s="7" t="s">
        <v>256</v>
      </c>
      <c r="D4" s="7" t="s">
        <v>257</v>
      </c>
      <c r="E4" s="7" t="s">
        <v>258</v>
      </c>
      <c r="F4" s="7" t="s">
        <v>259</v>
      </c>
      <c r="G4" s="7" t="s">
        <v>260</v>
      </c>
      <c r="H4" s="7" t="s">
        <v>261</v>
      </c>
      <c r="I4" s="7" t="s">
        <v>262</v>
      </c>
      <c r="J4" s="7" t="s">
        <v>263</v>
      </c>
      <c r="K4" s="7" t="s">
        <v>264</v>
      </c>
      <c r="L4" s="7" t="s">
        <v>265</v>
      </c>
    </row>
    <row r="5" customFormat="false" ht="15" hidden="false" customHeight="false" outlineLevel="0" collapsed="false">
      <c r="A5" s="61" t="n">
        <f aca="false">Forecast!C3</f>
        <v>46388</v>
      </c>
      <c r="B5" s="43" t="n">
        <f aca="false">Assumptions!$B$6/12</f>
        <v>250000</v>
      </c>
      <c r="C5" s="25" t="n">
        <f aca="false">Forecast!C114</f>
        <v>147830.8279052</v>
      </c>
      <c r="D5" s="43" t="n">
        <v>31000</v>
      </c>
      <c r="E5" s="43" t="n">
        <v>118000</v>
      </c>
      <c r="F5" s="46" t="n">
        <f aca="false">IF(COUNT(D5:E5)=0,"",SUM(D5:E5))</f>
        <v>149000</v>
      </c>
      <c r="G5" s="46" t="n">
        <f aca="false">IF(F5="","",F5-C5)</f>
        <v>1169.17209480001</v>
      </c>
      <c r="H5" s="46" t="n">
        <f aca="false">IF(OR(F5="",B5=""),"",F5-B5)</f>
        <v>-101000</v>
      </c>
      <c r="I5" s="62" t="n">
        <f aca="false">Forecast!C121</f>
        <v>122315.574065272</v>
      </c>
      <c r="J5" s="33" t="n">
        <v>95000</v>
      </c>
      <c r="K5" s="46" t="n">
        <f aca="false">IF(OR(F5="",J5="",I5=0),"",(J5-I5)*C5/I5)</f>
        <v>-33013.6530824773</v>
      </c>
      <c r="L5" s="46" t="n">
        <f aca="false">IF(K5="","",G5-K5)</f>
        <v>34182.8251772773</v>
      </c>
    </row>
    <row r="6" customFormat="false" ht="15" hidden="false" customHeight="false" outlineLevel="0" collapsed="false">
      <c r="A6" s="61" t="n">
        <f aca="false">Forecast!D3</f>
        <v>46419</v>
      </c>
      <c r="B6" s="43" t="n">
        <f aca="false">Assumptions!$B$6/12</f>
        <v>250000</v>
      </c>
      <c r="C6" s="25" t="n">
        <f aca="false">Forecast!D114</f>
        <v>181594.195403965</v>
      </c>
      <c r="D6" s="43"/>
      <c r="E6" s="43"/>
      <c r="F6" s="46" t="str">
        <f aca="false">IF(COUNT(D6:E6)=0,"",SUM(D6:E6))</f>
        <v/>
      </c>
      <c r="G6" s="46" t="str">
        <f aca="false">IF(F6="","",F6-C6)</f>
        <v/>
      </c>
      <c r="H6" s="46" t="str">
        <f aca="false">IF(OR(F6="",B6=""),"",F6-B6)</f>
        <v/>
      </c>
      <c r="I6" s="62" t="n">
        <f aca="false">Forecast!D121</f>
        <v>244728.176749964</v>
      </c>
      <c r="J6" s="33"/>
      <c r="K6" s="46" t="str">
        <f aca="false">IF(OR(F6="",J6="",I6=0),"",(J6-I6)*C6/I6)</f>
        <v/>
      </c>
      <c r="L6" s="46" t="str">
        <f aca="false">IF(K6="","",G6-K6)</f>
        <v/>
      </c>
    </row>
    <row r="7" customFormat="false" ht="15" hidden="false" customHeight="false" outlineLevel="0" collapsed="false">
      <c r="A7" s="61" t="n">
        <f aca="false">Forecast!E3</f>
        <v>46447</v>
      </c>
      <c r="B7" s="43" t="n">
        <f aca="false">Assumptions!$B$6/12</f>
        <v>250000</v>
      </c>
      <c r="C7" s="25" t="n">
        <f aca="false">Forecast!E114</f>
        <v>215291.966778468</v>
      </c>
      <c r="D7" s="43"/>
      <c r="E7" s="43"/>
      <c r="F7" s="46" t="str">
        <f aca="false">IF(COUNT(D7:E7)=0,"",SUM(D7:E7))</f>
        <v/>
      </c>
      <c r="G7" s="46" t="str">
        <f aca="false">IF(F7="","",F7-C7)</f>
        <v/>
      </c>
      <c r="H7" s="46" t="str">
        <f aca="false">IF(OR(F7="",B7=""),"",F7-B7)</f>
        <v/>
      </c>
      <c r="I7" s="62" t="n">
        <f aca="false">Forecast!E121</f>
        <v>367240.5397879</v>
      </c>
      <c r="J7" s="33"/>
      <c r="K7" s="46" t="str">
        <f aca="false">IF(OR(F7="",J7="",I7=0),"",(J7-I7)*C7/I7)</f>
        <v/>
      </c>
      <c r="L7" s="46" t="str">
        <f aca="false">IF(K7="","",G7-K7)</f>
        <v/>
      </c>
    </row>
    <row r="8" customFormat="false" ht="15" hidden="false" customHeight="false" outlineLevel="0" collapsed="false">
      <c r="A8" s="61" t="n">
        <f aca="false">Forecast!F3</f>
        <v>46478</v>
      </c>
      <c r="B8" s="43" t="n">
        <f aca="false">Assumptions!$B$6/12</f>
        <v>250000</v>
      </c>
      <c r="C8" s="25" t="n">
        <f aca="false">Forecast!F114</f>
        <v>216925.960515487</v>
      </c>
      <c r="D8" s="43"/>
      <c r="E8" s="43"/>
      <c r="F8" s="46" t="str">
        <f aca="false">IF(COUNT(D8:E8)=0,"",SUM(D8:E8))</f>
        <v/>
      </c>
      <c r="G8" s="46" t="str">
        <f aca="false">IF(F8="","",F8-C8)</f>
        <v/>
      </c>
      <c r="H8" s="46" t="str">
        <f aca="false">IF(OR(F8="",B8=""),"",F8-B8)</f>
        <v/>
      </c>
      <c r="I8" s="62" t="n">
        <f aca="false">Forecast!F121</f>
        <v>487122.397457314</v>
      </c>
      <c r="J8" s="33"/>
      <c r="K8" s="46" t="str">
        <f aca="false">IF(OR(F8="",J8="",I8=0),"",(J8-I8)*C8/I8)</f>
        <v/>
      </c>
      <c r="L8" s="46" t="str">
        <f aca="false">IF(K8="","",G8-K8)</f>
        <v/>
      </c>
    </row>
    <row r="9" customFormat="false" ht="15" hidden="false" customHeight="false" outlineLevel="0" collapsed="false">
      <c r="A9" s="61" t="n">
        <f aca="false">Forecast!G3</f>
        <v>46508</v>
      </c>
      <c r="B9" s="43" t="n">
        <f aca="false">Assumptions!$B$6/12</f>
        <v>250000</v>
      </c>
      <c r="C9" s="25" t="n">
        <f aca="false">Forecast!G114</f>
        <v>218423.339373417</v>
      </c>
      <c r="D9" s="43"/>
      <c r="E9" s="43"/>
      <c r="F9" s="46" t="str">
        <f aca="false">IF(COUNT(D9:E9)=0,"",SUM(D9:E9))</f>
        <v/>
      </c>
      <c r="G9" s="46" t="str">
        <f aca="false">IF(F9="","",F9-C9)</f>
        <v/>
      </c>
      <c r="H9" s="46" t="str">
        <f aca="false">IF(OR(F9="",B9=""),"",F9-B9)</f>
        <v/>
      </c>
      <c r="I9" s="62" t="n">
        <f aca="false">Forecast!G121</f>
        <v>504947.090368174</v>
      </c>
      <c r="J9" s="33"/>
      <c r="K9" s="46" t="str">
        <f aca="false">IF(OR(F9="",J9="",I9=0),"",(J9-I9)*C9/I9)</f>
        <v/>
      </c>
      <c r="L9" s="46" t="str">
        <f aca="false">IF(K9="","",G9-K9)</f>
        <v/>
      </c>
    </row>
    <row r="10" customFormat="false" ht="15" hidden="false" customHeight="false" outlineLevel="0" collapsed="false">
      <c r="A10" s="61" t="n">
        <f aca="false">Forecast!H3</f>
        <v>46539</v>
      </c>
      <c r="B10" s="43" t="n">
        <f aca="false">Assumptions!$B$6/12</f>
        <v>250000</v>
      </c>
      <c r="C10" s="25" t="n">
        <f aca="false">Forecast!H114</f>
        <v>219863.193563069</v>
      </c>
      <c r="D10" s="43"/>
      <c r="E10" s="43"/>
      <c r="F10" s="46" t="str">
        <f aca="false">IF(COUNT(D10:E10)=0,"",SUM(D10:E10))</f>
        <v/>
      </c>
      <c r="G10" s="46" t="str">
        <f aca="false">IF(F10="","",F10-C10)</f>
        <v/>
      </c>
      <c r="H10" s="46" t="str">
        <f aca="false">IF(OR(F10="",B10=""),"",F10-B10)</f>
        <v/>
      </c>
      <c r="I10" s="62" t="n">
        <f aca="false">Forecast!H121</f>
        <v>522774.671735878</v>
      </c>
      <c r="J10" s="33"/>
      <c r="K10" s="46" t="str">
        <f aca="false">IF(OR(F10="",J10="",I10=0),"",(J10-I10)*C10/I10)</f>
        <v/>
      </c>
      <c r="L10" s="46" t="str">
        <f aca="false">IF(K10="","",G10-K10)</f>
        <v/>
      </c>
    </row>
    <row r="11" customFormat="false" ht="15" hidden="false" customHeight="false" outlineLevel="0" collapsed="false">
      <c r="A11" s="61" t="n">
        <f aca="false">Forecast!I3</f>
        <v>46569</v>
      </c>
      <c r="B11" s="43" t="n">
        <f aca="false">Assumptions!$B$6/12</f>
        <v>250000</v>
      </c>
      <c r="C11" s="25" t="n">
        <f aca="false">Forecast!I114</f>
        <v>219836.297949668</v>
      </c>
      <c r="D11" s="43"/>
      <c r="E11" s="43"/>
      <c r="F11" s="46" t="str">
        <f aca="false">IF(COUNT(D11:E11)=0,"",SUM(D11:E11))</f>
        <v/>
      </c>
      <c r="G11" s="46" t="str">
        <f aca="false">IF(F11="","",F11-C11)</f>
        <v/>
      </c>
      <c r="H11" s="46" t="str">
        <f aca="false">IF(OR(F11="",B11=""),"",F11-B11)</f>
        <v/>
      </c>
      <c r="I11" s="62" t="n">
        <f aca="false">Forecast!I121</f>
        <v>529059.395774639</v>
      </c>
      <c r="J11" s="33"/>
      <c r="K11" s="46" t="str">
        <f aca="false">IF(OR(F11="",J11="",I11=0),"",(J11-I11)*C11/I11)</f>
        <v/>
      </c>
      <c r="L11" s="46" t="str">
        <f aca="false">IF(K11="","",G11-K11)</f>
        <v/>
      </c>
    </row>
    <row r="12" customFormat="false" ht="15" hidden="false" customHeight="false" outlineLevel="0" collapsed="false">
      <c r="A12" s="61" t="n">
        <f aca="false">Forecast!J3</f>
        <v>46600</v>
      </c>
      <c r="B12" s="43" t="n">
        <f aca="false">Assumptions!$B$6/12</f>
        <v>250000</v>
      </c>
      <c r="C12" s="25" t="n">
        <f aca="false">Forecast!J114</f>
        <v>219807.045550235</v>
      </c>
      <c r="D12" s="43"/>
      <c r="E12" s="43"/>
      <c r="F12" s="46" t="str">
        <f aca="false">IF(COUNT(D12:E12)=0,"",SUM(D12:E12))</f>
        <v/>
      </c>
      <c r="G12" s="46" t="str">
        <f aca="false">IF(F12="","",F12-C12)</f>
        <v/>
      </c>
      <c r="H12" s="46" t="str">
        <f aca="false">IF(OR(F12="",B12=""),"",F12-B12)</f>
        <v/>
      </c>
      <c r="I12" s="62" t="n">
        <f aca="false">Forecast!J121</f>
        <v>535347.11771623</v>
      </c>
      <c r="J12" s="33"/>
      <c r="K12" s="46" t="str">
        <f aca="false">IF(OR(F12="",J12="",I12=0),"",(J12-I12)*C12/I12)</f>
        <v/>
      </c>
      <c r="L12" s="46" t="str">
        <f aca="false">IF(K12="","",G12-K12)</f>
        <v/>
      </c>
    </row>
    <row r="13" customFormat="false" ht="15" hidden="false" customHeight="false" outlineLevel="0" collapsed="false">
      <c r="A13" s="61" t="n">
        <f aca="false">Forecast!K3</f>
        <v>46631</v>
      </c>
      <c r="B13" s="43" t="n">
        <f aca="false">Assumptions!$B$6/12</f>
        <v>250000</v>
      </c>
      <c r="C13" s="25" t="n">
        <f aca="false">Forecast!K114</f>
        <v>219775.532334148</v>
      </c>
      <c r="D13" s="43"/>
      <c r="E13" s="43"/>
      <c r="F13" s="46" t="str">
        <f aca="false">IF(COUNT(D13:E13)=0,"",SUM(D13:E13))</f>
        <v/>
      </c>
      <c r="G13" s="46" t="str">
        <f aca="false">IF(F13="","",F13-C13)</f>
        <v/>
      </c>
      <c r="H13" s="46" t="str">
        <f aca="false">IF(OR(F13="",B13=""),"",F13-B13)</f>
        <v/>
      </c>
      <c r="I13" s="62" t="n">
        <f aca="false">Forecast!K121</f>
        <v>541637.893829083</v>
      </c>
      <c r="J13" s="33"/>
      <c r="K13" s="46" t="str">
        <f aca="false">IF(OR(F13="",J13="",I13=0),"",(J13-I13)*C13/I13)</f>
        <v/>
      </c>
      <c r="L13" s="46" t="str">
        <f aca="false">IF(K13="","",G13-K13)</f>
        <v/>
      </c>
    </row>
    <row r="14" customFormat="false" ht="15" hidden="false" customHeight="false" outlineLevel="0" collapsed="false">
      <c r="A14" s="61" t="n">
        <f aca="false">Forecast!L3</f>
        <v>46661</v>
      </c>
      <c r="B14" s="43" t="n">
        <f aca="false">Assumptions!$B$6/12</f>
        <v>250000</v>
      </c>
      <c r="C14" s="25" t="n">
        <f aca="false">Forecast!L114</f>
        <v>219595.433106221</v>
      </c>
      <c r="D14" s="43"/>
      <c r="E14" s="43"/>
      <c r="F14" s="46" t="str">
        <f aca="false">IF(COUNT(D14:E14)=0,"",SUM(D14:E14))</f>
        <v/>
      </c>
      <c r="G14" s="46" t="str">
        <f aca="false">IF(F14="","",F14-C14)</f>
        <v/>
      </c>
      <c r="H14" s="46" t="str">
        <f aca="false">IF(OR(F14="",B14=""),"",F14-B14)</f>
        <v/>
      </c>
      <c r="I14" s="62" t="n">
        <f aca="false">Forecast!L121</f>
        <v>541806.781437749</v>
      </c>
      <c r="J14" s="33"/>
      <c r="K14" s="46" t="str">
        <f aca="false">IF(OR(F14="",J14="",I14=0),"",(J14-I14)*C14/I14)</f>
        <v/>
      </c>
      <c r="L14" s="46" t="str">
        <f aca="false">IF(K14="","",G14-K14)</f>
        <v/>
      </c>
    </row>
    <row r="15" customFormat="false" ht="15" hidden="false" customHeight="false" outlineLevel="0" collapsed="false">
      <c r="A15" s="61" t="n">
        <f aca="false">Forecast!M3</f>
        <v>46692</v>
      </c>
      <c r="B15" s="43" t="n">
        <f aca="false">Assumptions!$B$6/12</f>
        <v>250000</v>
      </c>
      <c r="C15" s="25" t="n">
        <f aca="false">Forecast!M114</f>
        <v>219418.65193104</v>
      </c>
      <c r="D15" s="43"/>
      <c r="E15" s="43"/>
      <c r="F15" s="46" t="str">
        <f aca="false">IF(COUNT(D15:E15)=0,"",SUM(D15:E15))</f>
        <v/>
      </c>
      <c r="G15" s="46" t="str">
        <f aca="false">IF(F15="","",F15-C15)</f>
        <v/>
      </c>
      <c r="H15" s="46" t="str">
        <f aca="false">IF(OR(F15="",B15=""),"",F15-B15)</f>
        <v/>
      </c>
      <c r="I15" s="62" t="n">
        <f aca="false">Forecast!M121</f>
        <v>541978.838942718</v>
      </c>
      <c r="J15" s="33"/>
      <c r="K15" s="46" t="str">
        <f aca="false">IF(OR(F15="",J15="",I15=0),"",(J15-I15)*C15/I15)</f>
        <v/>
      </c>
      <c r="L15" s="46" t="str">
        <f aca="false">IF(K15="","",G15-K15)</f>
        <v/>
      </c>
    </row>
    <row r="16" customFormat="false" ht="15" hidden="false" customHeight="false" outlineLevel="0" collapsed="false">
      <c r="A16" s="61" t="n">
        <f aca="false">Forecast!N3</f>
        <v>46722</v>
      </c>
      <c r="B16" s="43" t="n">
        <f aca="false">Assumptions!$B$6/12</f>
        <v>250000</v>
      </c>
      <c r="C16" s="25" t="n">
        <f aca="false">Forecast!N114</f>
        <v>219245.127678559</v>
      </c>
      <c r="D16" s="43"/>
      <c r="E16" s="43"/>
      <c r="F16" s="46" t="str">
        <f aca="false">IF(COUNT(D16:E16)=0,"",SUM(D16:E16))</f>
        <v/>
      </c>
      <c r="G16" s="46" t="str">
        <f aca="false">IF(F16="","",F16-C16)</f>
        <v/>
      </c>
      <c r="H16" s="46" t="str">
        <f aca="false">IF(OR(F16="",B16=""),"",F16-B16)</f>
        <v/>
      </c>
      <c r="I16" s="62" t="n">
        <f aca="false">Forecast!N121</f>
        <v>542154.125840614</v>
      </c>
      <c r="J16" s="33"/>
      <c r="K16" s="46" t="str">
        <f aca="false">IF(OR(F16="",J16="",I16=0),"",(J16-I16)*C16/I16)</f>
        <v/>
      </c>
      <c r="L16" s="46" t="str">
        <f aca="false">IF(K16="","",G16-K16)</f>
        <v/>
      </c>
    </row>
    <row r="17" customFormat="false" ht="15" hidden="false" customHeight="false" outlineLevel="0" collapsed="false">
      <c r="A17" s="61" t="n">
        <f aca="false">Forecast!O3</f>
        <v>46753</v>
      </c>
      <c r="B17" s="43"/>
      <c r="C17" s="25" t="n">
        <f aca="false">Forecast!O114</f>
        <v>207074.80034496</v>
      </c>
      <c r="D17" s="43"/>
      <c r="E17" s="43"/>
      <c r="F17" s="46" t="str">
        <f aca="false">IF(COUNT(D17:E17)=0,"",SUM(D17:E17))</f>
        <v/>
      </c>
      <c r="G17" s="46" t="str">
        <f aca="false">IF(F17="","",F17-C17)</f>
        <v/>
      </c>
      <c r="H17" s="46" t="str">
        <f aca="false">IF(OR(F17="",B17=""),"",F17-B17)</f>
        <v/>
      </c>
      <c r="I17" s="62" t="n">
        <f aca="false">Forecast!O121</f>
        <v>542332.702744769</v>
      </c>
      <c r="J17" s="33"/>
      <c r="K17" s="46" t="str">
        <f aca="false">IF(OR(F17="",J17="",I17=0),"",(J17-I17)*C17/I17)</f>
        <v/>
      </c>
      <c r="L17" s="46" t="str">
        <f aca="false">IF(K17="","",G17-K17)</f>
        <v/>
      </c>
    </row>
    <row r="18" customFormat="false" ht="15" hidden="false" customHeight="false" outlineLevel="0" collapsed="false">
      <c r="A18" s="61" t="n">
        <f aca="false">Forecast!P3</f>
        <v>46784</v>
      </c>
      <c r="B18" s="43"/>
      <c r="C18" s="25" t="n">
        <f aca="false">Forecast!P114</f>
        <v>206907.611031903</v>
      </c>
      <c r="D18" s="43"/>
      <c r="E18" s="43"/>
      <c r="F18" s="46" t="str">
        <f aca="false">IF(COUNT(D18:E18)=0,"",SUM(D18:E18))</f>
        <v/>
      </c>
      <c r="G18" s="46" t="str">
        <f aca="false">IF(F18="","",F18-C18)</f>
        <v/>
      </c>
      <c r="H18" s="46" t="str">
        <f aca="false">IF(OR(F18="",B18=""),"",F18-B18)</f>
        <v/>
      </c>
      <c r="I18" s="62" t="n">
        <f aca="false">Forecast!P121</f>
        <v>542514.631406183</v>
      </c>
      <c r="J18" s="33"/>
      <c r="K18" s="46" t="str">
        <f aca="false">IF(OR(F18="",J18="",I18=0),"",(J18-I18)*C18/I18)</f>
        <v/>
      </c>
      <c r="L18" s="46" t="str">
        <f aca="false">IF(K18="","",G18-K18)</f>
        <v/>
      </c>
    </row>
    <row r="19" customFormat="false" ht="15" hidden="false" customHeight="false" outlineLevel="0" collapsed="false">
      <c r="A19" s="61" t="n">
        <f aca="false">Forecast!Q3</f>
        <v>46813</v>
      </c>
      <c r="B19" s="43"/>
      <c r="C19" s="25" t="n">
        <f aca="false">Forecast!Q114</f>
        <v>206743.50192616</v>
      </c>
      <c r="D19" s="43"/>
      <c r="E19" s="43"/>
      <c r="F19" s="46" t="str">
        <f aca="false">IF(COUNT(D19:E19)=0,"",SUM(D19:E19))</f>
        <v/>
      </c>
      <c r="G19" s="46" t="str">
        <f aca="false">IF(F19="","",F19-C19)</f>
        <v/>
      </c>
      <c r="H19" s="46" t="str">
        <f aca="false">IF(OR(F19="",B19=""),"",F19-B19)</f>
        <v/>
      </c>
      <c r="I19" s="62" t="n">
        <f aca="false">Forecast!Q121</f>
        <v>542699.974734876</v>
      </c>
      <c r="J19" s="33"/>
      <c r="K19" s="46" t="str">
        <f aca="false">IF(OR(F19="",J19="",I19=0),"",(J19-I19)*C19/I19)</f>
        <v/>
      </c>
      <c r="L19" s="46" t="str">
        <f aca="false">IF(K19="","",G19-K19)</f>
        <v/>
      </c>
    </row>
    <row r="20" customFormat="false" ht="15" hidden="false" customHeight="false" outlineLevel="0" collapsed="false">
      <c r="A20" s="61" t="n">
        <f aca="false">Forecast!R3</f>
        <v>46844</v>
      </c>
      <c r="B20" s="43"/>
      <c r="C20" s="25" t="n">
        <f aca="false">Forecast!R114</f>
        <v>206582.416279625</v>
      </c>
      <c r="D20" s="43"/>
      <c r="E20" s="43"/>
      <c r="F20" s="46" t="str">
        <f aca="false">IF(COUNT(D20:E20)=0,"",SUM(D20:E20))</f>
        <v/>
      </c>
      <c r="G20" s="46" t="str">
        <f aca="false">IF(F20="","",F20-C20)</f>
        <v/>
      </c>
      <c r="H20" s="46" t="str">
        <f aca="false">IF(OR(F20="",B20=""),"",F20-B20)</f>
        <v/>
      </c>
      <c r="I20" s="62" t="n">
        <f aca="false">Forecast!R121</f>
        <v>542888.796821643</v>
      </c>
      <c r="J20" s="33"/>
      <c r="K20" s="46" t="str">
        <f aca="false">IF(OR(F20="",J20="",I20=0),"",(J20-I20)*C20/I20)</f>
        <v/>
      </c>
      <c r="L20" s="46" t="str">
        <f aca="false">IF(K20="","",G20-K20)</f>
        <v/>
      </c>
    </row>
    <row r="21" customFormat="false" ht="15" hidden="false" customHeight="false" outlineLevel="0" collapsed="false">
      <c r="A21" s="61" t="n">
        <f aca="false">Forecast!S3</f>
        <v>46874</v>
      </c>
      <c r="B21" s="43"/>
      <c r="C21" s="25" t="n">
        <f aca="false">Forecast!S114</f>
        <v>206424.298389686</v>
      </c>
      <c r="D21" s="43"/>
      <c r="E21" s="43"/>
      <c r="F21" s="46" t="str">
        <f aca="false">IF(COUNT(D21:E21)=0,"",SUM(D21:E21))</f>
        <v/>
      </c>
      <c r="G21" s="46" t="str">
        <f aca="false">IF(F21="","",F21-C21)</f>
        <v/>
      </c>
      <c r="H21" s="46" t="str">
        <f aca="false">IF(OR(F21="",B21=""),"",F21-B21)</f>
        <v/>
      </c>
      <c r="I21" s="62" t="n">
        <f aca="false">Forecast!S121</f>
        <v>543081.162960218</v>
      </c>
      <c r="J21" s="33"/>
      <c r="K21" s="46" t="str">
        <f aca="false">IF(OR(F21="",J21="",I21=0),"",(J21-I21)*C21/I21)</f>
        <v/>
      </c>
      <c r="L21" s="46" t="str">
        <f aca="false">IF(K21="","",G21-K21)</f>
        <v/>
      </c>
    </row>
    <row r="22" customFormat="false" ht="15" hidden="false" customHeight="false" outlineLevel="0" collapsed="false">
      <c r="A22" s="61" t="n">
        <f aca="false">Forecast!T3</f>
        <v>46905</v>
      </c>
      <c r="B22" s="43"/>
      <c r="C22" s="25" t="n">
        <f aca="false">Forecast!T114</f>
        <v>206269.093579969</v>
      </c>
      <c r="D22" s="43"/>
      <c r="E22" s="43"/>
      <c r="F22" s="46" t="str">
        <f aca="false">IF(COUNT(D22:E22)=0,"",SUM(D22:E22))</f>
        <v/>
      </c>
      <c r="G22" s="46" t="str">
        <f aca="false">IF(F22="","",F22-C22)</f>
        <v/>
      </c>
      <c r="H22" s="46" t="str">
        <f aca="false">IF(OR(F22="",B22=""),"",F22-B22)</f>
        <v/>
      </c>
      <c r="I22" s="62" t="n">
        <f aca="false">Forecast!T121</f>
        <v>543277.139669848</v>
      </c>
      <c r="J22" s="33"/>
      <c r="K22" s="46" t="str">
        <f aca="false">IF(OR(F22="",J22="",I22=0),"",(J22-I22)*C22/I22)</f>
        <v/>
      </c>
      <c r="L22" s="46" t="str">
        <f aca="false">IF(K22="","",G22-K22)</f>
        <v/>
      </c>
    </row>
    <row r="23" customFormat="false" ht="15" hidden="false" customHeight="false" outlineLevel="0" collapsed="false">
      <c r="A23" s="61" t="n">
        <f aca="false">Forecast!U3</f>
        <v>46935</v>
      </c>
      <c r="B23" s="43"/>
      <c r="C23" s="25" t="n">
        <f aca="false">Forecast!U114</f>
        <v>206116.748181428</v>
      </c>
      <c r="D23" s="43"/>
      <c r="E23" s="43"/>
      <c r="F23" s="46" t="str">
        <f aca="false">IF(COUNT(D23:E23)=0,"",SUM(D23:E23))</f>
        <v/>
      </c>
      <c r="G23" s="46" t="str">
        <f aca="false">IF(F23="","",F23-C23)</f>
        <v/>
      </c>
      <c r="H23" s="46" t="str">
        <f aca="false">IF(OR(F23="",B23=""),"",F23-B23)</f>
        <v/>
      </c>
      <c r="I23" s="62" t="n">
        <f aca="false">Forecast!U121</f>
        <v>543476.794718299</v>
      </c>
      <c r="J23" s="33"/>
      <c r="K23" s="46" t="str">
        <f aca="false">IF(OR(F23="",J23="",I23=0),"",(J23-I23)*C23/I23)</f>
        <v/>
      </c>
      <c r="L23" s="46" t="str">
        <f aca="false">IF(K23="","",G23-K23)</f>
        <v/>
      </c>
    </row>
    <row r="24" customFormat="false" ht="15" hidden="false" customHeight="false" outlineLevel="0" collapsed="false">
      <c r="A24" s="61" t="n">
        <f aca="false">Forecast!V3</f>
        <v>46966</v>
      </c>
      <c r="B24" s="43"/>
      <c r="C24" s="25" t="n">
        <f aca="false">Forecast!V114</f>
        <v>205967.209513785</v>
      </c>
      <c r="D24" s="43"/>
      <c r="E24" s="43"/>
      <c r="F24" s="46" t="str">
        <f aca="false">IF(COUNT(D24:E24)=0,"",SUM(D24:E24))</f>
        <v/>
      </c>
      <c r="G24" s="46" t="str">
        <f aca="false">IF(F24="","",F24-C24)</f>
        <v/>
      </c>
      <c r="H24" s="46" t="str">
        <f aca="false">IF(OR(F24="",B24=""),"",F24-B24)</f>
        <v/>
      </c>
      <c r="I24" s="62" t="n">
        <f aca="false">Forecast!V121</f>
        <v>543680.197145287</v>
      </c>
      <c r="J24" s="33"/>
      <c r="K24" s="46" t="str">
        <f aca="false">IF(OR(F24="",J24="",I24=0),"",(J24-I24)*C24/I24)</f>
        <v/>
      </c>
      <c r="L24" s="46" t="str">
        <f aca="false">IF(K24="","",G24-K24)</f>
        <v/>
      </c>
    </row>
    <row r="25" customFormat="false" ht="15" hidden="false" customHeight="false" outlineLevel="0" collapsed="false">
      <c r="A25" s="61" t="n">
        <f aca="false">Forecast!W3</f>
        <v>46997</v>
      </c>
      <c r="B25" s="43"/>
      <c r="C25" s="25" t="n">
        <f aca="false">Forecast!W114</f>
        <v>205820.425867318</v>
      </c>
      <c r="D25" s="43"/>
      <c r="E25" s="43"/>
      <c r="F25" s="46" t="str">
        <f aca="false">IF(COUNT(D25:E25)=0,"",SUM(D25:E25))</f>
        <v/>
      </c>
      <c r="G25" s="46" t="str">
        <f aca="false">IF(F25="","",F25-C25)</f>
        <v/>
      </c>
      <c r="H25" s="46" t="str">
        <f aca="false">IF(OR(F25="",B25=""),"",F25-B25)</f>
        <v/>
      </c>
      <c r="I25" s="62" t="n">
        <f aca="false">Forecast!W121</f>
        <v>543887.417286354</v>
      </c>
      <c r="J25" s="33"/>
      <c r="K25" s="46" t="str">
        <f aca="false">IF(OR(F25="",J25="",I25=0),"",(J25-I25)*C25/I25)</f>
        <v/>
      </c>
      <c r="L25" s="46" t="str">
        <f aca="false">IF(K25="","",G25-K25)</f>
        <v/>
      </c>
    </row>
    <row r="26" customFormat="false" ht="15" hidden="false" customHeight="false" outlineLevel="0" collapsed="false">
      <c r="A26" s="61" t="n">
        <f aca="false">Forecast!X3</f>
        <v>47027</v>
      </c>
      <c r="B26" s="43"/>
      <c r="C26" s="25" t="n">
        <f aca="false">Forecast!X114</f>
        <v>205676.346484977</v>
      </c>
      <c r="D26" s="43"/>
      <c r="E26" s="43"/>
      <c r="F26" s="46" t="str">
        <f aca="false">IF(COUNT(D26:E26)=0,"",SUM(D26:E26))</f>
        <v/>
      </c>
      <c r="G26" s="46" t="str">
        <f aca="false">IF(F26="","",F26-C26)</f>
        <v/>
      </c>
      <c r="H26" s="46" t="str">
        <f aca="false">IF(OR(F26="",B26=""),"",F26-B26)</f>
        <v/>
      </c>
      <c r="I26" s="62" t="n">
        <f aca="false">Forecast!X121</f>
        <v>544098.526797187</v>
      </c>
      <c r="J26" s="33"/>
      <c r="K26" s="46" t="str">
        <f aca="false">IF(OR(F26="",J26="",I26=0),"",(J26-I26)*C26/I26)</f>
        <v/>
      </c>
      <c r="L26" s="46" t="str">
        <f aca="false">IF(K26="","",G26-K26)</f>
        <v/>
      </c>
    </row>
    <row r="27" customFormat="false" ht="15" hidden="false" customHeight="false" outlineLevel="0" collapsed="false">
      <c r="A27" s="61" t="n">
        <f aca="false">Forecast!Y3</f>
        <v>47058</v>
      </c>
      <c r="B27" s="43"/>
      <c r="C27" s="25" t="n">
        <f aca="false">Forecast!Y114</f>
        <v>205534.921544832</v>
      </c>
      <c r="D27" s="43"/>
      <c r="E27" s="43"/>
      <c r="F27" s="46" t="str">
        <f aca="false">IF(COUNT(D27:E27)=0,"",SUM(D27:E27))</f>
        <v/>
      </c>
      <c r="G27" s="46" t="str">
        <f aca="false">IF(F27="","",F27-C27)</f>
        <v/>
      </c>
      <c r="H27" s="46" t="str">
        <f aca="false">IF(OR(F27="",B27=""),"",F27-B27)</f>
        <v/>
      </c>
      <c r="I27" s="62" t="n">
        <f aca="false">Forecast!Y121</f>
        <v>544313.598678398</v>
      </c>
      <c r="J27" s="33"/>
      <c r="K27" s="46" t="str">
        <f aca="false">IF(OR(F27="",J27="",I27=0),"",(J27-I27)*C27/I27)</f>
        <v/>
      </c>
      <c r="L27" s="46" t="str">
        <f aca="false">IF(K27="","",G27-K27)</f>
        <v/>
      </c>
    </row>
    <row r="28" customFormat="false" ht="15" hidden="false" customHeight="false" outlineLevel="0" collapsed="false">
      <c r="A28" s="61" t="n">
        <f aca="false">Forecast!Z3</f>
        <v>47088</v>
      </c>
      <c r="B28" s="43"/>
      <c r="C28" s="25" t="n">
        <f aca="false">Forecast!Z114</f>
        <v>205396.102142847</v>
      </c>
      <c r="D28" s="43"/>
      <c r="E28" s="43"/>
      <c r="F28" s="46" t="str">
        <f aca="false">IF(COUNT(D28:E28)=0,"",SUM(D28:E28))</f>
        <v/>
      </c>
      <c r="G28" s="46" t="str">
        <f aca="false">IF(F28="","",F28-C28)</f>
        <v/>
      </c>
      <c r="H28" s="46" t="str">
        <f aca="false">IF(OR(F28="",B28=""),"",F28-B28)</f>
        <v/>
      </c>
      <c r="I28" s="62" t="n">
        <f aca="false">Forecast!Z121</f>
        <v>544532.707300768</v>
      </c>
      <c r="J28" s="33"/>
      <c r="K28" s="46" t="str">
        <f aca="false">IF(OR(F28="",J28="",I28=0),"",(J28-I28)*C28/I28)</f>
        <v/>
      </c>
      <c r="L28" s="46" t="str">
        <f aca="false">IF(K28="","",G28-K28)</f>
        <v/>
      </c>
    </row>
    <row r="30" customFormat="false" ht="15" hidden="false" customHeight="false" outlineLevel="0" collapsed="false">
      <c r="A30" s="6" t="s">
        <v>266</v>
      </c>
    </row>
    <row r="31" customFormat="false" ht="15" hidden="false" customHeight="false" outlineLevel="0" collapsed="false">
      <c r="A31" s="6" t="s">
        <v>267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12"/>
    <col collapsed="false" customWidth="true" hidden="false" outlineLevel="0" max="3" min="3" style="0" width="60"/>
    <col collapsed="false" customWidth="true" hidden="true" outlineLevel="0" max="4" min="4" style="0" width="13"/>
  </cols>
  <sheetData>
    <row r="1" customFormat="false" ht="17.35" hidden="false" customHeight="false" outlineLevel="0" collapsed="false">
      <c r="A1" s="5" t="s">
        <v>268</v>
      </c>
    </row>
    <row r="2" customFormat="false" ht="15" hidden="false" customHeight="false" outlineLevel="0" collapsed="false">
      <c r="A2" s="6" t="s">
        <v>269</v>
      </c>
    </row>
    <row r="4" customFormat="false" ht="15" hidden="false" customHeight="false" outlineLevel="0" collapsed="false">
      <c r="A4" s="7" t="s">
        <v>270</v>
      </c>
      <c r="B4" s="7" t="s">
        <v>271</v>
      </c>
      <c r="C4" s="7" t="s">
        <v>272</v>
      </c>
    </row>
    <row r="5" customFormat="false" ht="15" hidden="false" customHeight="false" outlineLevel="0" collapsed="false">
      <c r="A5" s="34" t="s">
        <v>273</v>
      </c>
      <c r="B5" s="23" t="str">
        <f aca="false">IF(D5=0,"OK",D5&amp;" issue(s)")</f>
        <v>OK</v>
      </c>
      <c r="C5" s="6" t="s">
        <v>274</v>
      </c>
      <c r="D5" s="24" t="n">
        <f aca="false">COUNTIF(Workflows!E5:E10,"&gt;1")+COUNTIF(Workflows!E5:E10,"&lt;0")+COUNTIF(Workflows!L5:N10,"&gt;1")+COUNTIF(Workflows!L5:N10,"&lt;0")+COUNTIF(Workflows!P5:P10,"&gt;1")+COUNTIF(Workflows!P5:P10,"&lt;0")+COUNTIF(Workflows!T5:T10,"&gt;1")+COUNTIF(Workflows!T5:T10,"&lt;0")</f>
        <v>0</v>
      </c>
    </row>
    <row r="6" customFormat="false" ht="15" hidden="false" customHeight="false" outlineLevel="0" collapsed="false">
      <c r="A6" s="34" t="s">
        <v>275</v>
      </c>
      <c r="B6" s="23" t="str">
        <f aca="false">IF(D6=0,"OK",D6&amp;" issue(s)")</f>
        <v>OK</v>
      </c>
      <c r="C6" s="6" t="s">
        <v>276</v>
      </c>
      <c r="D6" s="24" t="n">
        <f aca="false">COUNTIF(Prices!F5:G7,"&lt;0")+COUNTIF(Workflows!D5:D10,"&lt;0")+COUNTIF(Workflows!G5:G10,"&lt;0")+COUNTIF(Workflows!I5:K10,"&lt;0")+COUNTIF(Workflows!O5:O10,"&lt;0")</f>
        <v>0</v>
      </c>
    </row>
    <row r="7" customFormat="false" ht="15" hidden="false" customHeight="false" outlineLevel="0" collapsed="false">
      <c r="A7" s="34" t="s">
        <v>277</v>
      </c>
      <c r="B7" s="23" t="str">
        <f aca="false">IF(D7=0,"OK",D7&amp;" issue(s)")</f>
        <v>OK</v>
      </c>
      <c r="C7" s="6" t="s">
        <v>278</v>
      </c>
      <c r="D7" s="24" t="n">
        <f aca="false">COUNTIF(Workflows!F5:F10,"&lt;1")+COUNTIF(Workflows!U5:U10,"&lt;1")</f>
        <v>0</v>
      </c>
    </row>
    <row r="8" customFormat="false" ht="15" hidden="false" customHeight="false" outlineLevel="0" collapsed="false">
      <c r="A8" s="34" t="s">
        <v>279</v>
      </c>
      <c r="B8" s="23" t="str">
        <f aca="false">IF(D8=0,"OK",D8&amp;" issue(s)")</f>
        <v>OK</v>
      </c>
      <c r="C8" s="6" t="s">
        <v>280</v>
      </c>
      <c r="D8" s="24" t="n">
        <f aca="false">(ABS(ROI!I12)&gt;1)+(ABS(ROI!I21)&gt;1)</f>
        <v>0</v>
      </c>
    </row>
    <row r="9" customFormat="false" ht="15" hidden="false" customHeight="false" outlineLevel="0" collapsed="false">
      <c r="A9" s="34" t="s">
        <v>281</v>
      </c>
      <c r="B9" s="23" t="str">
        <f aca="false">IF(D9=0,"OK",D9&amp;" issue(s)")</f>
        <v>OK</v>
      </c>
      <c r="C9" s="6" t="s">
        <v>282</v>
      </c>
      <c r="D9" s="24" t="n">
        <f aca="false">(AND(ROI!D5&gt;0,ROI!E5=0))*1+(AND(ROI!D6&gt;0,ROI!E6=0))*1+(AND(ROI!D7&gt;0,ROI!E7=0))*1+(AND(ROI!D8&gt;0,ROI!E8=0))*1+(AND(ROI!D9&gt;0,ROI!E9=0))*1+(AND(ROI!D10&gt;0,ROI!E10=0))*1</f>
        <v>0</v>
      </c>
    </row>
    <row r="10" customFormat="false" ht="15" hidden="false" customHeight="false" outlineLevel="0" collapsed="false">
      <c r="A10" s="34" t="s">
        <v>283</v>
      </c>
      <c r="B10" s="23" t="str">
        <f aca="false">IF(D10=0,"OK",D10&amp;" issue(s)")</f>
        <v>OK</v>
      </c>
      <c r="C10" s="6" t="s">
        <v>284</v>
      </c>
      <c r="D10" s="24" t="n">
        <f aca="false">(IF(Forecast!N7=0,0,Forecast!N16/Forecast!N7)&gt;Assumptions!$B$11)*1+(IF(Forecast!N24=0,0,Forecast!N33/Forecast!N24)&gt;Assumptions!$B$11)*1+(IF(Forecast!N41=0,0,Forecast!N50/Forecast!N41)&gt;Assumptions!$B$11)*1+(IF(Forecast!N58=0,0,Forecast!N67/Forecast!N58)&gt;Assumptions!$B$11)*1+(IF(Forecast!N75=0,0,Forecast!N84/Forecast!N75)&gt;Assumptions!$B$11)*1+(IF(Forecast!N92=0,0,Forecast!N101/Forecast!N92)&gt;Assumptions!$B$11)*1</f>
        <v>0</v>
      </c>
    </row>
    <row r="11" customFormat="false" ht="15" hidden="false" customHeight="false" outlineLevel="0" collapsed="false">
      <c r="A11" s="34" t="s">
        <v>285</v>
      </c>
      <c r="B11" s="23" t="str">
        <f aca="false">IF(D11=0,"OK",D11&amp;" issue(s)")</f>
        <v>OK</v>
      </c>
      <c r="C11" s="6" t="s">
        <v>286</v>
      </c>
      <c r="D11" s="24" t="n">
        <f aca="false">ISNA(MATCH(Assumptions!B4,Assumptions!B14:F14,0))*1+ISNA(MATCH(Assumptions!B10,{"Tasks completed","Token cost","Equal"},0))*1</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2026-10-12T20:21:06Z</dcterms:created>
  <dc:creator>openpyxl</dc:creator>
  <dc:description/>
  <dc:language>en-US</dc:language>
  <cp:lastModifiedBy/>
  <dcterms:modified xsi:type="dcterms:W3CDTF">2026-10-12T16:21:08Z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